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70" windowHeight="4665"/>
  </bookViews>
  <sheets>
    <sheet name="Identification" sheetId="1" r:id="rId1"/>
    <sheet name="Notation" sheetId="2" r:id="rId2"/>
  </sheets>
  <definedNames>
    <definedName name="_xlnm.Print_Area" localSheetId="0">Identification!$A$1:$F$28</definedName>
    <definedName name="_xlnm.Print_Area" localSheetId="1">Notation!$A$1:$K$51</definedName>
  </definedNames>
  <calcPr calcId="125725"/>
</workbook>
</file>

<file path=xl/calcChain.xml><?xml version="1.0" encoding="utf-8"?>
<calcChain xmlns="http://schemas.openxmlformats.org/spreadsheetml/2006/main">
  <c r="I26" i="2"/>
  <c r="I29"/>
  <c r="I30"/>
  <c r="I36"/>
  <c r="I22"/>
  <c r="I20"/>
  <c r="I17"/>
  <c r="I15"/>
  <c r="M25"/>
  <c r="N25"/>
  <c r="I25" s="1"/>
  <c r="Q25" s="1"/>
  <c r="O25"/>
  <c r="P25"/>
  <c r="R25"/>
  <c r="S25"/>
  <c r="M26"/>
  <c r="N26"/>
  <c r="O26"/>
  <c r="P26"/>
  <c r="Q26"/>
  <c r="R26"/>
  <c r="S26"/>
  <c r="M27"/>
  <c r="N27"/>
  <c r="I27" s="1"/>
  <c r="Q27" s="1"/>
  <c r="O27"/>
  <c r="P27"/>
  <c r="R27"/>
  <c r="S27"/>
  <c r="M28"/>
  <c r="N28"/>
  <c r="I28" s="1"/>
  <c r="Q28" s="1"/>
  <c r="O28"/>
  <c r="P28"/>
  <c r="R28"/>
  <c r="S28"/>
  <c r="M29"/>
  <c r="N29"/>
  <c r="O29"/>
  <c r="P29"/>
  <c r="R29"/>
  <c r="S29"/>
  <c r="M30"/>
  <c r="N30"/>
  <c r="O30"/>
  <c r="P30"/>
  <c r="Q30"/>
  <c r="R30"/>
  <c r="S30"/>
  <c r="M31"/>
  <c r="N31"/>
  <c r="I31" s="1"/>
  <c r="Q31" s="1"/>
  <c r="O31"/>
  <c r="P31"/>
  <c r="R31"/>
  <c r="S31"/>
  <c r="S24"/>
  <c r="R24"/>
  <c r="P24"/>
  <c r="N24"/>
  <c r="I24" s="1"/>
  <c r="M24"/>
  <c r="O24" s="1"/>
  <c r="R23"/>
  <c r="M16"/>
  <c r="N16"/>
  <c r="O16"/>
  <c r="P16"/>
  <c r="Q16"/>
  <c r="R16"/>
  <c r="R18" s="1"/>
  <c r="S16"/>
  <c r="M6"/>
  <c r="N6"/>
  <c r="O6"/>
  <c r="P6"/>
  <c r="Q6"/>
  <c r="R6"/>
  <c r="S6"/>
  <c r="R14"/>
  <c r="S36"/>
  <c r="R36"/>
  <c r="P36"/>
  <c r="N36"/>
  <c r="M36"/>
  <c r="O36" s="1"/>
  <c r="Q36"/>
  <c r="S35"/>
  <c r="R35"/>
  <c r="P35"/>
  <c r="N35"/>
  <c r="M35"/>
  <c r="O35" s="1"/>
  <c r="Q35"/>
  <c r="S34"/>
  <c r="R34"/>
  <c r="R37" s="1"/>
  <c r="P34"/>
  <c r="N34"/>
  <c r="I34" s="1"/>
  <c r="Q34" s="1"/>
  <c r="M34"/>
  <c r="O34" s="1"/>
  <c r="S33"/>
  <c r="R33"/>
  <c r="P33"/>
  <c r="P32" s="1"/>
  <c r="N33"/>
  <c r="M33"/>
  <c r="O33" s="1"/>
  <c r="I33"/>
  <c r="Q33" s="1"/>
  <c r="S32"/>
  <c r="S23"/>
  <c r="D31" i="1"/>
  <c r="R11" i="2"/>
  <c r="S22"/>
  <c r="R22"/>
  <c r="P22"/>
  <c r="N22"/>
  <c r="M22"/>
  <c r="O22" s="1"/>
  <c r="S21"/>
  <c r="R21"/>
  <c r="P21"/>
  <c r="N21"/>
  <c r="M21"/>
  <c r="O21" s="1"/>
  <c r="S20"/>
  <c r="R20"/>
  <c r="P20"/>
  <c r="N20"/>
  <c r="M20"/>
  <c r="O20" s="1"/>
  <c r="S19"/>
  <c r="R19"/>
  <c r="P19"/>
  <c r="N19"/>
  <c r="M19"/>
  <c r="O19" s="1"/>
  <c r="S18"/>
  <c r="M7"/>
  <c r="O7" s="1"/>
  <c r="N7"/>
  <c r="P7"/>
  <c r="R7"/>
  <c r="S7"/>
  <c r="M8"/>
  <c r="N8"/>
  <c r="O8"/>
  <c r="P8"/>
  <c r="R8"/>
  <c r="S8"/>
  <c r="M9"/>
  <c r="O9" s="1"/>
  <c r="N9"/>
  <c r="P9"/>
  <c r="R9"/>
  <c r="S9"/>
  <c r="M10"/>
  <c r="N10"/>
  <c r="O10"/>
  <c r="P10"/>
  <c r="R10"/>
  <c r="S10"/>
  <c r="M11"/>
  <c r="N11"/>
  <c r="O11"/>
  <c r="P11"/>
  <c r="S11"/>
  <c r="M12"/>
  <c r="N12"/>
  <c r="O12"/>
  <c r="P12"/>
  <c r="R12"/>
  <c r="S12"/>
  <c r="M13"/>
  <c r="N13"/>
  <c r="O13"/>
  <c r="P13"/>
  <c r="R13"/>
  <c r="S13"/>
  <c r="N15"/>
  <c r="S15"/>
  <c r="N17"/>
  <c r="S17"/>
  <c r="I10"/>
  <c r="Q10" s="1"/>
  <c r="P5"/>
  <c r="P15"/>
  <c r="P17"/>
  <c r="N5"/>
  <c r="S5"/>
  <c r="N14"/>
  <c r="L37"/>
  <c r="R5"/>
  <c r="R15"/>
  <c r="R17"/>
  <c r="K37"/>
  <c r="M5"/>
  <c r="O5" s="1"/>
  <c r="S14"/>
  <c r="M17"/>
  <c r="O17" s="1"/>
  <c r="C1"/>
  <c r="M15"/>
  <c r="O15" s="1"/>
  <c r="L13"/>
  <c r="G40"/>
  <c r="D2"/>
  <c r="C2"/>
  <c r="A1"/>
  <c r="E51"/>
  <c r="N32" l="1"/>
  <c r="R32"/>
  <c r="R38" s="1"/>
  <c r="N23"/>
  <c r="M23" s="1"/>
  <c r="Q24"/>
  <c r="Q29"/>
  <c r="M32"/>
  <c r="P23"/>
  <c r="E37" s="1"/>
  <c r="P18"/>
  <c r="N18"/>
  <c r="M18" s="1"/>
  <c r="P4"/>
  <c r="Q17"/>
  <c r="M14"/>
  <c r="I11"/>
  <c r="Q11" s="1"/>
  <c r="I19"/>
  <c r="Q19" s="1"/>
  <c r="Q21"/>
  <c r="Q20"/>
  <c r="Q22"/>
  <c r="I5"/>
  <c r="Q5" s="1"/>
  <c r="N4"/>
  <c r="M4" s="1"/>
  <c r="I9"/>
  <c r="Q9" s="1"/>
  <c r="I8"/>
  <c r="Q8" s="1"/>
  <c r="I7"/>
  <c r="Q7" s="1"/>
  <c r="P14"/>
  <c r="I13"/>
  <c r="Q13" s="1"/>
  <c r="I12"/>
  <c r="Q12" s="1"/>
  <c r="Q15"/>
  <c r="J37" l="1"/>
  <c r="N37"/>
  <c r="Q37"/>
  <c r="E38" s="1"/>
  <c r="E40" l="1"/>
  <c r="C43"/>
</calcChain>
</file>

<file path=xl/sharedStrings.xml><?xml version="1.0" encoding="utf-8"?>
<sst xmlns="http://schemas.openxmlformats.org/spreadsheetml/2006/main" count="136" uniqueCount="107">
  <si>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</si>
  <si>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</si>
  <si>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</si>
  <si>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</si>
  <si>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</si>
  <si>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</si>
  <si>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</si>
  <si>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</si>
  <si>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</si>
  <si>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>Compétences évaluées</t>
  </si>
  <si>
    <t xml:space="preserve"> /20</t>
  </si>
  <si>
    <t>Appréciation globale</t>
  </si>
  <si>
    <t>Poids du critère</t>
  </si>
  <si>
    <t>Poids de la compétence</t>
  </si>
  <si>
    <t xml:space="preserve">Note brute </t>
  </si>
  <si>
    <t>Signatures</t>
  </si>
  <si>
    <t>Date</t>
  </si>
  <si>
    <t>non</t>
  </si>
  <si>
    <t>Taux pondéré de compétences et indicateurs évalués :</t>
  </si>
  <si>
    <t>Note sur 20 proposée au jury* :</t>
  </si>
  <si>
    <t>Note x coefficient :</t>
  </si>
  <si>
    <t>Lieu de l'évaluation :</t>
  </si>
  <si>
    <t>Noms des Evaluateurs</t>
  </si>
  <si>
    <t>Coefficient :</t>
  </si>
  <si>
    <t>* La note proposée, arrondie au demi point, est décidée par les évaluateurs à partir de la note brute qui peut être modulée de + 0 à + 1 point en fonction de la réactivité du candidat.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</si>
  <si>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</si>
  <si>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Note brute obtenue par calcul automatique (attention si le taux est &lt;50%, le calcul n'est pas proposé) :</t>
  </si>
  <si>
    <t></t>
  </si>
  <si>
    <t>I</t>
  </si>
  <si>
    <t>Î</t>
  </si>
  <si>
    <r>
      <t>ATTENTION,</t>
    </r>
    <r>
      <rPr>
        <i/>
        <sz val="10"/>
        <color indexed="18"/>
        <rFont val="Arial"/>
        <family val="2"/>
      </rPr>
      <t xml:space="preserve"> si le symbole </t>
    </r>
    <r>
      <rPr>
        <b/>
        <i/>
        <sz val="10"/>
        <color indexed="10"/>
        <rFont val="Arial"/>
        <family val="2"/>
      </rPr>
      <t xml:space="preserve">◄ </t>
    </r>
    <r>
      <rPr>
        <i/>
        <sz val="10"/>
        <color indexed="18"/>
        <rFont val="Arial"/>
        <family val="2"/>
      </rPr>
      <t>apparait dans cette colonne c'est qu'il y a plus d'une valeur donnée à l'indicateur, il faut alors choisir laquelle retenir, ou bien que l'indicateur est mentionné "non" évalué :</t>
    </r>
  </si>
  <si>
    <t>Cocher les cases correspondantes aux données fournies et aux tâches demandées</t>
  </si>
  <si>
    <r>
      <t xml:space="preserve">Données fournies au candidat </t>
    </r>
    <r>
      <rPr>
        <sz val="10"/>
        <rFont val="Arial"/>
        <family val="2"/>
      </rPr>
      <t>(cocher les données fournies)</t>
    </r>
  </si>
  <si>
    <t>Description de l’anomalie constatée et/ou de ses effets</t>
  </si>
  <si>
    <t>L’accessoire ou l’équipement à poser</t>
  </si>
  <si>
    <t>Equipement informatique avec logiciel de DAO  - CAO</t>
  </si>
  <si>
    <r>
      <t xml:space="preserve">Description sommaire du travail demandé </t>
    </r>
    <r>
      <rPr>
        <sz val="10"/>
        <rFont val="Arial"/>
        <family val="2"/>
      </rPr>
      <t xml:space="preserve">(le sujet complet doit être joint à cette fiche) </t>
    </r>
    <r>
      <rPr>
        <b/>
        <sz val="10"/>
        <rFont val="Arial"/>
        <family val="2"/>
      </rPr>
      <t>:</t>
    </r>
  </si>
  <si>
    <t>Analyser un système d’un point de vue fonctionnel</t>
  </si>
  <si>
    <t>La fonction globale est identifiée sans ambigüité</t>
  </si>
  <si>
    <r>
      <t>ATTENTION,</t>
    </r>
    <r>
      <rPr>
        <sz val="10"/>
        <color indexed="10"/>
        <rFont val="Arial"/>
        <family val="2"/>
      </rPr>
      <t xml:space="preserve"> dans le règlement actuel de l'examen, les compétences ci-dessus sont mentionnées dans plusieurs épreuves. Ne pas les évaluer plusieurs fois dans des épreuves différentes. 
Un choix judicieux de la répartition des compétences à évaluer sur l’ensemble des situations d’évaluation est donc à faire globalement pour toutes les épreuves.</t>
    </r>
  </si>
  <si>
    <t>cahier des charges fonctionnelles ou ses extraits</t>
  </si>
  <si>
    <t>documentations techniques (données constructeur, liste des pièces et des fournitures...)</t>
  </si>
  <si>
    <t>Les sous-ensembles sont correctement identifiés</t>
  </si>
  <si>
    <t>L’information extraite répond au besoin.</t>
  </si>
  <si>
    <t>La cotation est décodée sans ambigüité</t>
  </si>
  <si>
    <t>L’interprétation du plan est exacte</t>
  </si>
  <si>
    <t>La ou les surface(s) est correctement identifiée et/ou la nature géométrique des surfaces est correcte</t>
  </si>
  <si>
    <t>Le vocabulaire est juste et correctement associé</t>
  </si>
  <si>
    <t>La nature du matériau est identifiée (décodage hachures…)</t>
  </si>
  <si>
    <r>
      <t xml:space="preserve">Identifier une pièce ou différents sous-ensembles fonctionnels. </t>
    </r>
    <r>
      <rPr>
        <sz val="10"/>
        <color rgb="FFFF0000"/>
        <rFont val="Arial"/>
        <family val="2"/>
      </rPr>
      <t>(Lire un plan)</t>
    </r>
  </si>
  <si>
    <r>
      <t xml:space="preserve">Associer à une géométrie, le vocabulaire technique du champ professionnel </t>
    </r>
    <r>
      <rPr>
        <sz val="10"/>
        <color rgb="FFFF0000"/>
        <rFont val="Arial"/>
        <family val="2"/>
      </rPr>
      <t>(Identifier les formes géométriques)</t>
    </r>
  </si>
  <si>
    <t>x</t>
  </si>
  <si>
    <t>Les règles de dessin (tracé) sont respectées</t>
  </si>
  <si>
    <t>les règles de cotation sont respectées</t>
  </si>
  <si>
    <r>
      <t>Exploiter la représentation d’un ensemble ou d’un sous-ensemble pour un besoin exprimé.</t>
    </r>
    <r>
      <rPr>
        <sz val="10"/>
        <color rgb="FFFF0000"/>
        <rFont val="Arial"/>
        <family val="2"/>
      </rPr>
      <t xml:space="preserve"> (Lire un plan, Décoder les cotes et les spécifications géométriques)</t>
    </r>
  </si>
  <si>
    <r>
      <t>Compléter la représentation d’un sous-ensemble ou d’un croquis et/ou de sa cotation</t>
    </r>
    <r>
      <rPr>
        <sz val="10"/>
        <color rgb="FFFF0000"/>
        <rFont val="Arial"/>
        <family val="2"/>
      </rPr>
      <t xml:space="preserve"> (Produire un croquis coté d’une pièce mécanique)</t>
    </r>
  </si>
  <si>
    <t>Références pour l’épreuve :</t>
  </si>
  <si>
    <r>
      <t>-</t>
    </r>
    <r>
      <rPr>
        <sz val="7"/>
        <color rgb="FFFF0000"/>
        <rFont val="Times New Roman"/>
        <family val="1"/>
      </rPr>
      <t xml:space="preserve">       </t>
    </r>
    <r>
      <rPr>
        <sz val="8"/>
        <color rgb="FFFF0000"/>
        <rFont val="Comic Sans MS"/>
        <family val="4"/>
      </rPr>
      <t>Définition des épreuves, Page 2/11</t>
    </r>
  </si>
  <si>
    <r>
      <t xml:space="preserve">Travail demandé </t>
    </r>
    <r>
      <rPr>
        <sz val="10"/>
        <rFont val="Arial Narrow"/>
        <family val="2"/>
      </rPr>
      <t>(Repérer les tâches demandées, ce sont celles qui correspondent à la définition de l'épreuve)</t>
    </r>
  </si>
  <si>
    <t>BEP « Systèmes Electroniques Numériques »</t>
  </si>
  <si>
    <t>identifier les différentes pièces participant à la réalisation de l’objet technique à partir d’une vue éclatée de celui-ci</t>
  </si>
  <si>
    <t>Information :</t>
  </si>
  <si>
    <t>notation : 60 points pour l‘électronique et 20 points pour la construction (coef 4 au total)</t>
  </si>
  <si>
    <t>Epreuve E1 - ÉTUDE D'UN SYSTÈME - Durée recommandée : 1h</t>
  </si>
  <si>
    <t>effectuer l’analyse technique conduisant à l’établissement d’un schéma technologique se rapportant à un ensemble ou à un sous-ensemble du domaine de la mécanique et de l’électronique</t>
  </si>
  <si>
    <t>modifier le modèle 3D d’une pièce (arbre de construction court).</t>
  </si>
  <si>
    <t>mise en situation</t>
  </si>
  <si>
    <t>description(s) fonctionnelle(s)</t>
  </si>
  <si>
    <t>algorithmes de fonctionnement</t>
  </si>
  <si>
    <t>plans et schémas (structurel, d’installation,…)</t>
  </si>
  <si>
    <t>nomenclature</t>
  </si>
  <si>
    <t>résultats d’expérimentation ou de simulation</t>
  </si>
  <si>
    <t>dessin d’ensemble ou d’un sous-ensemble</t>
  </si>
  <si>
    <r>
      <t xml:space="preserve">Consulter le référentiel pour obtenir le </t>
    </r>
    <r>
      <rPr>
        <b/>
        <i/>
        <sz val="10"/>
        <color indexed="10"/>
        <rFont val="Arial"/>
        <family val="2"/>
      </rPr>
      <t xml:space="preserve">détail des compétences </t>
    </r>
    <r>
      <rPr>
        <i/>
        <sz val="10"/>
        <color indexed="10"/>
        <rFont val="Arial"/>
        <family val="2"/>
      </rPr>
      <t xml:space="preserve">et leurs </t>
    </r>
    <r>
      <rPr>
        <b/>
        <i/>
        <sz val="10"/>
        <color indexed="10"/>
        <rFont val="Arial"/>
        <family val="2"/>
      </rPr>
      <t>correspondances avec les savoirs/tâches</t>
    </r>
  </si>
  <si>
    <t>Identifier les différentes pièces participant à la réalisation de l’objet technique à partir d’une vue éclatée de celui-ci</t>
  </si>
  <si>
    <t>Exploiter les informations relatives à un dessin d’ensemble ou à un dessin de sous-ensemble</t>
  </si>
  <si>
    <t>exploiter les informations relatives à un dessin d’ensemble ou à un dessin de sous-ensemble</t>
  </si>
  <si>
    <t>exploiter les informations relatives à la définition d’un produit appartenant à l'ensemble ou à un sous-ensemble</t>
  </si>
  <si>
    <t>Exploiter les informations relatives à la définition d’un produit appartenant à l'ensemble ou à un sous-ensemble</t>
  </si>
  <si>
    <t>Effectuer l’analyse technique conduisant à l’établissement d’un schéma technologique se rapportant à un ensemble ou à un sous-ensemble du domaine de la mécanique et de l’électronique</t>
  </si>
  <si>
    <t>La ou les surface(s) ou forme(s) est correctement identifiée</t>
  </si>
  <si>
    <t>La ou les pièce(s) est correctement identifiée (repères, désignation, …)</t>
  </si>
  <si>
    <t>Décrire une solution constructive à partir d'une représentation volumique, d'un produit réel ou d'une mise en plan</t>
  </si>
  <si>
    <t>La solution technique est correctement identifiée/décrite à partir d'un plan</t>
  </si>
  <si>
    <t>La solution technique est correctement identifiée/décrite à partir d'un modèle numérique ou réel</t>
  </si>
  <si>
    <t>Identifier, avec la norme, les liaisons entre solides dans un schéma cinématique et en déduire les mouvements relatifs</t>
  </si>
  <si>
    <t>La liaison est située et désignée</t>
  </si>
  <si>
    <t>Les mouvements relatifs associés correspondent à la réalité</t>
  </si>
  <si>
    <t>Les symboles sont clairement identifiés</t>
  </si>
  <si>
    <t>Elaborer et/ou modifier le modèle 3D d’une pièce (arbre de construction court).</t>
  </si>
  <si>
    <t>Elaborer et/ou modifier un plan, un croquis et/ou le modèle 3D d’une pièce (arbre de construction court).</t>
  </si>
  <si>
    <t>Élaborer, pour une pièce, un arbre de construction informatique générant le modèle 3D</t>
  </si>
  <si>
    <t>Modifier le modèle 3D d'une pièce</t>
  </si>
  <si>
    <t>Les énergies mobilisées sont correctement identifiées</t>
  </si>
  <si>
    <t>Les fonctions techniques sont listées / associées à la solution correspondante</t>
  </si>
  <si>
    <t>La frontière du système est correctement identifiée</t>
  </si>
  <si>
    <t>La(les) matière(s) d’œuvre sont identifiée(s) sans erreur / La valeur ajoutée est identifiée</t>
  </si>
  <si>
    <t>Les caractéristiques (référence, désignation, matériau) sont correctement identifiées</t>
  </si>
  <si>
    <r>
      <t xml:space="preserve">Identifier une liaison et/ou une classe d'équivalence, décrire la solution constructive associée </t>
    </r>
    <r>
      <rPr>
        <sz val="10"/>
        <color rgb="FFFF0000"/>
        <rFont val="Arial"/>
        <family val="2"/>
      </rPr>
      <t>(Décrire une solution constructive à partir d'une représentation volumique ou d'un produit réel.)</t>
    </r>
  </si>
  <si>
    <t>L'inventaire est juste et complet (chaque classe d'équivalence sera pré-remplie par 1 ou 2 pièces)</t>
  </si>
  <si>
    <t>A l'aide d'un graphe de liaisons total ou partiel, 1 à 3 liaisons sont définies (nom, mouvement, axe.)</t>
  </si>
  <si>
    <t>Identifier, à l'aide de la norme, les composants utilisés dans un schéma pneumatique, hydraulique ou électrique / décrire le fonctionnement</t>
  </si>
  <si>
    <t>Le fonctionnement décrit est correct</t>
  </si>
  <si>
    <t>Les mouvements entre classe d'équivalence données sont correctement identifiés</t>
  </si>
  <si>
    <r>
      <t xml:space="preserve">Identifier la nature du matériau d'une pièce </t>
    </r>
    <r>
      <rPr>
        <sz val="10"/>
        <color rgb="FFFF0000"/>
        <rFont val="Arial"/>
        <family val="2"/>
      </rPr>
      <t>(Identifier la nature des matériaux)</t>
    </r>
  </si>
  <si>
    <t>X</t>
  </si>
  <si>
    <r>
      <t xml:space="preserve"> -</t>
    </r>
    <r>
      <rPr>
        <sz val="7"/>
        <color rgb="FFFF0000"/>
        <rFont val="Times New Roman"/>
        <family val="1"/>
      </rPr>
      <t>      </t>
    </r>
    <r>
      <rPr>
        <sz val="8"/>
        <color rgb="FFFF0000"/>
        <rFont val="Comic Sans MS"/>
        <family val="4"/>
      </rPr>
      <t>Référentiels du diplôme (Arrêté du 28 juillet 2009) - pages 65-72</t>
    </r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</si>
</sst>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 Narrow"/>
      <family val="2"/>
    </font>
    <font>
      <sz val="8"/>
      <color indexed="10"/>
      <name val="Arial"/>
      <family val="2"/>
    </font>
    <font>
      <b/>
      <sz val="10"/>
      <color indexed="12"/>
      <name val="Wingdings"/>
      <charset val="2"/>
    </font>
    <font>
      <b/>
      <sz val="10"/>
      <color indexed="12"/>
      <name val="Wingdings 3"/>
      <family val="1"/>
      <charset val="2"/>
    </font>
    <font>
      <i/>
      <sz val="10"/>
      <color indexed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Comic Sans MS"/>
      <family val="4"/>
    </font>
    <font>
      <sz val="7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9" fontId="18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0" fontId="22" fillId="0" borderId="0" xfId="0" applyNumberFormat="1" applyFont="1" applyBorder="1" applyAlignment="1">
      <alignment vertical="center"/>
    </xf>
    <xf numFmtId="9" fontId="21" fillId="0" borderId="0" xfId="0" applyNumberFormat="1" applyFont="1" applyBorder="1" applyAlignment="1">
      <alignment vertical="center"/>
    </xf>
    <xf numFmtId="9" fontId="12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top" wrapText="1"/>
    </xf>
    <xf numFmtId="0" fontId="28" fillId="0" borderId="0" xfId="0" applyFont="1" applyFill="1" applyBorder="1" applyAlignment="1" applyProtection="1">
      <alignment horizontal="center" vertical="top" wrapText="1"/>
    </xf>
    <xf numFmtId="14" fontId="2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2" fillId="0" borderId="0" xfId="0" applyFont="1"/>
    <xf numFmtId="0" fontId="31" fillId="0" borderId="0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25" fillId="0" borderId="0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</xf>
    <xf numFmtId="9" fontId="37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0" fontId="39" fillId="0" borderId="0" xfId="0" applyNumberFormat="1" applyFont="1" applyBorder="1" applyAlignment="1">
      <alignment vertical="center"/>
    </xf>
    <xf numFmtId="0" fontId="39" fillId="0" borderId="0" xfId="0" applyFont="1"/>
    <xf numFmtId="2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0" fontId="39" fillId="0" borderId="0" xfId="0" applyNumberFormat="1" applyFont="1"/>
    <xf numFmtId="0" fontId="40" fillId="0" borderId="20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40" fillId="0" borderId="21" xfId="0" applyFont="1" applyBorder="1" applyAlignment="1" applyProtection="1">
      <alignment horizontal="left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14" fontId="14" fillId="0" borderId="0" xfId="0" applyNumberFormat="1" applyFont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5" fontId="12" fillId="0" borderId="20" xfId="0" applyNumberFormat="1" applyFont="1" applyBorder="1" applyAlignment="1" applyProtection="1">
      <alignment horizontal="center" vertical="center" wrapText="1"/>
      <protection locked="0"/>
    </xf>
    <xf numFmtId="15" fontId="12" fillId="0" borderId="0" xfId="0" applyNumberFormat="1" applyFont="1" applyBorder="1" applyAlignment="1" applyProtection="1">
      <alignment horizontal="center" vertical="center" wrapText="1"/>
      <protection locked="0"/>
    </xf>
    <xf numFmtId="15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5" fillId="2" borderId="39" xfId="0" applyFont="1" applyFill="1" applyBorder="1" applyAlignment="1">
      <alignment horizontal="left" vertical="center"/>
    </xf>
    <xf numFmtId="0" fontId="35" fillId="2" borderId="43" xfId="0" applyFont="1" applyFill="1" applyBorder="1" applyAlignment="1">
      <alignment horizontal="left" vertical="center"/>
    </xf>
    <xf numFmtId="0" fontId="35" fillId="2" borderId="44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/>
    <xf numFmtId="0" fontId="17" fillId="0" borderId="0" xfId="0" applyFont="1" applyBorder="1" applyAlignment="1">
      <alignment horizontal="right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14" fontId="12" fillId="0" borderId="34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164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right" vertical="center"/>
    </xf>
    <xf numFmtId="0" fontId="27" fillId="0" borderId="27" xfId="0" applyFont="1" applyBorder="1" applyAlignment="1">
      <alignment horizontal="right" vertical="center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5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vertical="center" wrapText="1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42" fillId="0" borderId="48" xfId="0" applyFont="1" applyBorder="1"/>
    <xf numFmtId="0" fontId="2" fillId="0" borderId="13" xfId="0" applyFont="1" applyBorder="1" applyAlignment="1">
      <alignment horizontal="right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>
      <alignment horizontal="left" vertical="center" wrapText="1"/>
    </xf>
    <xf numFmtId="0" fontId="35" fillId="2" borderId="18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2" fontId="39" fillId="0" borderId="0" xfId="0" applyNumberFormat="1" applyFont="1" applyBorder="1" applyAlignment="1">
      <alignment vertical="center"/>
    </xf>
    <xf numFmtId="9" fontId="39" fillId="0" borderId="0" xfId="0" applyNumberFormat="1" applyFont="1" applyBorder="1" applyAlignment="1">
      <alignment vertical="center"/>
    </xf>
    <xf numFmtId="0" fontId="42" fillId="0" borderId="47" xfId="0" applyFont="1" applyFill="1" applyBorder="1" applyAlignment="1">
      <alignment horizontal="justify"/>
    </xf>
    <xf numFmtId="0" fontId="42" fillId="0" borderId="46" xfId="0" applyFont="1" applyFill="1" applyBorder="1" applyAlignment="1">
      <alignment horizontal="justify"/>
    </xf>
    <xf numFmtId="0" fontId="27" fillId="0" borderId="2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8955296285121188E-2"/>
          <c:y val="1.9600355639265408E-2"/>
          <c:w val="0.91053179818131613"/>
          <c:h val="0.926101053920771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Notation!$O$5:$O$13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</c:v>
                </c:pt>
                <c:pt idx="4">
                  <c:v>0.66666666666666663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0.66666666666666663</c:v>
                </c:pt>
                <c:pt idx="8">
                  <c:v>0</c:v>
                </c:pt>
              </c:numCache>
            </c:numRef>
          </c:val>
        </c:ser>
        <c:axId val="74134656"/>
        <c:axId val="74136192"/>
      </c:barChart>
      <c:catAx>
        <c:axId val="7413465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74136192"/>
        <c:crosses val="autoZero"/>
        <c:auto val="1"/>
        <c:lblAlgn val="ctr"/>
        <c:lblOffset val="100"/>
      </c:catAx>
      <c:valAx>
        <c:axId val="74136192"/>
        <c:scaling>
          <c:orientation val="minMax"/>
          <c:max val="1"/>
          <c:min val="0"/>
        </c:scaling>
        <c:delete val="1"/>
        <c:axPos val="t"/>
        <c:numFmt formatCode="0.00%" sourceLinked="1"/>
        <c:tickLblPos val="none"/>
        <c:crossAx val="74134656"/>
        <c:crosses val="autoZero"/>
        <c:crossBetween val="between"/>
        <c:majorUnit val="0.33329999999999999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3333550348635083E-2"/>
          <c:y val="3.5461238511459103E-2"/>
          <c:w val="0.9133392795526013"/>
          <c:h val="0.9342257288029317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Notation!$O$15:$O$17</c:f>
              <c:numCache>
                <c:formatCode>0.00%</c:formatCode>
                <c:ptCount val="3"/>
                <c:pt idx="0">
                  <c:v>0.66666666666666652</c:v>
                </c:pt>
                <c:pt idx="1">
                  <c:v>0.33333333333333331</c:v>
                </c:pt>
                <c:pt idx="2">
                  <c:v>0.66666666666666663</c:v>
                </c:pt>
              </c:numCache>
            </c:numRef>
          </c:val>
        </c:ser>
        <c:axId val="74151424"/>
        <c:axId val="74152960"/>
      </c:barChart>
      <c:catAx>
        <c:axId val="7415142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74152960"/>
        <c:crosses val="autoZero"/>
        <c:auto val="1"/>
        <c:lblAlgn val="ctr"/>
        <c:lblOffset val="100"/>
      </c:catAx>
      <c:valAx>
        <c:axId val="74152960"/>
        <c:scaling>
          <c:orientation val="minMax"/>
          <c:max val="1"/>
          <c:min val="0"/>
        </c:scaling>
        <c:delete val="1"/>
        <c:axPos val="t"/>
        <c:numFmt formatCode="0.00%" sourceLinked="1"/>
        <c:tickLblPos val="none"/>
        <c:crossAx val="74151424"/>
        <c:crosses val="autoZero"/>
        <c:crossBetween val="between"/>
        <c:majorUnit val="0.33329999999999999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4164096"/>
        <c:axId val="74165632"/>
      </c:barChart>
      <c:catAx>
        <c:axId val="741640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74165632"/>
        <c:crosses val="autoZero"/>
        <c:auto val="1"/>
        <c:lblAlgn val="ctr"/>
        <c:lblOffset val="100"/>
      </c:catAx>
      <c:valAx>
        <c:axId val="74165632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one"/>
        <c:crossAx val="74164096"/>
        <c:crosses val="autoZero"/>
        <c:crossBetween val="between"/>
        <c:majorUnit val="0.33329999999999999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4180864"/>
        <c:axId val="75771904"/>
      </c:barChart>
      <c:catAx>
        <c:axId val="741808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75771904"/>
        <c:crosses val="autoZero"/>
        <c:auto val="1"/>
        <c:lblAlgn val="ctr"/>
        <c:lblOffset val="100"/>
      </c:catAx>
      <c:valAx>
        <c:axId val="75771904"/>
        <c:scaling>
          <c:orientation val="minMax"/>
          <c:max val="1"/>
          <c:min val="0"/>
        </c:scaling>
        <c:delete val="1"/>
        <c:axPos val="t"/>
        <c:numFmt formatCode="General" sourceLinked="1"/>
        <c:tickLblPos val="none"/>
        <c:crossAx val="74180864"/>
        <c:crosses val="autoZero"/>
        <c:crossBetween val="between"/>
        <c:majorUnit val="0.33329999999999999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0.66666666666666652</c:v>
              </c:pt>
              <c:pt idx="7">
                <c:v>0.77777777777777768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75811456"/>
        <c:axId val="75825536"/>
      </c:barChart>
      <c:catAx>
        <c:axId val="75811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25536"/>
        <c:crosses val="autoZero"/>
        <c:auto val="1"/>
        <c:lblAlgn val="ctr"/>
        <c:lblOffset val="100"/>
        <c:tickLblSkip val="1"/>
        <c:tickMarkSkip val="1"/>
      </c:catAx>
      <c:valAx>
        <c:axId val="758255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11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3333550348635083E-2"/>
          <c:y val="3.5461238511459131E-2"/>
          <c:w val="0.9133392795526013"/>
          <c:h val="0.9342257288029314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Notation!$O$24:$O$31</c:f>
              <c:numCache>
                <c:formatCode>0.00%</c:formatCode>
                <c:ptCount val="8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0.02</c:v>
                </c:pt>
                <c:pt idx="4">
                  <c:v>0.02</c:v>
                </c:pt>
                <c:pt idx="5">
                  <c:v>0.66666666666666674</c:v>
                </c:pt>
                <c:pt idx="6">
                  <c:v>0</c:v>
                </c:pt>
                <c:pt idx="7">
                  <c:v>0.33333333333333331</c:v>
                </c:pt>
              </c:numCache>
            </c:numRef>
          </c:val>
        </c:ser>
        <c:axId val="87392640"/>
        <c:axId val="87394176"/>
      </c:barChart>
      <c:catAx>
        <c:axId val="8739264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87394176"/>
        <c:crosses val="autoZero"/>
        <c:auto val="1"/>
        <c:lblAlgn val="ctr"/>
        <c:lblOffset val="100"/>
      </c:catAx>
      <c:valAx>
        <c:axId val="87394176"/>
        <c:scaling>
          <c:orientation val="minMax"/>
          <c:max val="1"/>
          <c:min val="0"/>
        </c:scaling>
        <c:delete val="1"/>
        <c:axPos val="t"/>
        <c:numFmt formatCode="0.00%" sourceLinked="1"/>
        <c:tickLblPos val="none"/>
        <c:crossAx val="87392640"/>
        <c:crosses val="autoZero"/>
        <c:crossBetween val="between"/>
        <c:majorUnit val="0.33330000000000021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3333550348635083E-2"/>
          <c:y val="3.5461238511459145E-2"/>
          <c:w val="0.9133392795526013"/>
          <c:h val="0.9342257288029313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Notation!$O$19:$O$22</c:f>
              <c:numCache>
                <c:formatCode>0.00%</c:formatCode>
                <c:ptCount val="4"/>
                <c:pt idx="0">
                  <c:v>0.02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0.66666666666666663</c:v>
                </c:pt>
              </c:numCache>
            </c:numRef>
          </c:val>
        </c:ser>
        <c:axId val="87419904"/>
        <c:axId val="91370240"/>
      </c:barChart>
      <c:catAx>
        <c:axId val="8741990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91370240"/>
        <c:crosses val="autoZero"/>
        <c:auto val="1"/>
        <c:lblAlgn val="ctr"/>
        <c:lblOffset val="100"/>
      </c:catAx>
      <c:valAx>
        <c:axId val="91370240"/>
        <c:scaling>
          <c:orientation val="minMax"/>
          <c:max val="1"/>
          <c:min val="0"/>
        </c:scaling>
        <c:delete val="1"/>
        <c:axPos val="t"/>
        <c:numFmt formatCode="0.00%" sourceLinked="1"/>
        <c:tickLblPos val="none"/>
        <c:crossAx val="87419904"/>
        <c:crosses val="autoZero"/>
        <c:crossBetween val="between"/>
        <c:majorUnit val="0.33330000000000032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3333550348635083E-2"/>
          <c:y val="3.5461238511459145E-2"/>
          <c:w val="0.9133392795526013"/>
          <c:h val="0.9342257288029313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Notation!$O$33:$O$36</c:f>
              <c:numCache>
                <c:formatCode>0.00%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0.66666666666666652</c:v>
                </c:pt>
                <c:pt idx="3">
                  <c:v>0.66666666666666663</c:v>
                </c:pt>
              </c:numCache>
            </c:numRef>
          </c:val>
        </c:ser>
        <c:axId val="91751552"/>
        <c:axId val="91753088"/>
      </c:barChart>
      <c:catAx>
        <c:axId val="9175155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91753088"/>
        <c:crosses val="autoZero"/>
        <c:auto val="1"/>
        <c:lblAlgn val="ctr"/>
        <c:lblOffset val="100"/>
      </c:catAx>
      <c:valAx>
        <c:axId val="91753088"/>
        <c:scaling>
          <c:orientation val="minMax"/>
          <c:max val="1"/>
          <c:min val="0"/>
        </c:scaling>
        <c:delete val="1"/>
        <c:axPos val="t"/>
        <c:numFmt formatCode="0.00%" sourceLinked="1"/>
        <c:tickLblPos val="none"/>
        <c:crossAx val="91751552"/>
        <c:crosses val="autoZero"/>
        <c:crossBetween val="between"/>
        <c:majorUnit val="0.33330000000000032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153866</xdr:rowOff>
    </xdr:from>
    <xdr:to>
      <xdr:col>10</xdr:col>
      <xdr:colOff>47625</xdr:colOff>
      <xdr:row>13</xdr:row>
      <xdr:rowOff>102577</xdr:rowOff>
    </xdr:to>
    <xdr:graphicFrame macro="">
      <xdr:nvGraphicFramePr>
        <xdr:cNvPr id="1106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13</xdr:row>
      <xdr:rowOff>182217</xdr:rowOff>
    </xdr:from>
    <xdr:to>
      <xdr:col>10</xdr:col>
      <xdr:colOff>66675</xdr:colOff>
      <xdr:row>17</xdr:row>
      <xdr:rowOff>24848</xdr:rowOff>
    </xdr:to>
    <xdr:graphicFrame macro="">
      <xdr:nvGraphicFramePr>
        <xdr:cNvPr id="1107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9525</xdr:colOff>
      <xdr:row>36</xdr:row>
      <xdr:rowOff>38100</xdr:rowOff>
    </xdr:to>
    <xdr:graphicFrame macro="">
      <xdr:nvGraphicFramePr>
        <xdr:cNvPr id="1108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9525</xdr:colOff>
      <xdr:row>17</xdr:row>
      <xdr:rowOff>0</xdr:rowOff>
    </xdr:to>
    <xdr:graphicFrame macro="">
      <xdr:nvGraphicFramePr>
        <xdr:cNvPr id="1109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4048125</xdr:colOff>
      <xdr:row>0</xdr:row>
      <xdr:rowOff>0</xdr:rowOff>
    </xdr:from>
    <xdr:to>
      <xdr:col>20</xdr:col>
      <xdr:colOff>0</xdr:colOff>
      <xdr:row>0</xdr:row>
      <xdr:rowOff>0</xdr:rowOff>
    </xdr:to>
    <xdr:graphicFrame macro="">
      <xdr:nvGraphicFramePr>
        <xdr:cNvPr id="11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723900</xdr:colOff>
      <xdr:row>4</xdr:row>
      <xdr:rowOff>0</xdr:rowOff>
    </xdr:from>
    <xdr:to>
      <xdr:col>9</xdr:col>
      <xdr:colOff>723900</xdr:colOff>
      <xdr:row>36</xdr:row>
      <xdr:rowOff>19050</xdr:rowOff>
    </xdr:to>
    <xdr:sp macro="" textlink="">
      <xdr:nvSpPr>
        <xdr:cNvPr id="1111" name="Line 33"/>
        <xdr:cNvSpPr>
          <a:spLocks noChangeShapeType="1"/>
        </xdr:cNvSpPr>
      </xdr:nvSpPr>
      <xdr:spPr bwMode="auto">
        <a:xfrm flipV="1">
          <a:off x="12739007" y="693964"/>
          <a:ext cx="0" cy="3434443"/>
        </a:xfrm>
        <a:prstGeom prst="line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47625</xdr:colOff>
      <xdr:row>22</xdr:row>
      <xdr:rowOff>291224</xdr:rowOff>
    </xdr:from>
    <xdr:to>
      <xdr:col>10</xdr:col>
      <xdr:colOff>66675</xdr:colOff>
      <xdr:row>31</xdr:row>
      <xdr:rowOff>42333</xdr:rowOff>
    </xdr:to>
    <xdr:graphicFrame macro="">
      <xdr:nvGraphicFramePr>
        <xdr:cNvPr id="11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47625</xdr:colOff>
      <xdr:row>17</xdr:row>
      <xdr:rowOff>163167</xdr:rowOff>
    </xdr:from>
    <xdr:to>
      <xdr:col>10</xdr:col>
      <xdr:colOff>66675</xdr:colOff>
      <xdr:row>22</xdr:row>
      <xdr:rowOff>24848</xdr:rowOff>
    </xdr:to>
    <xdr:graphicFrame macro="">
      <xdr:nvGraphicFramePr>
        <xdr:cNvPr id="1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47625</xdr:colOff>
      <xdr:row>31</xdr:row>
      <xdr:rowOff>163167</xdr:rowOff>
    </xdr:from>
    <xdr:to>
      <xdr:col>10</xdr:col>
      <xdr:colOff>66675</xdr:colOff>
      <xdr:row>36</xdr:row>
      <xdr:rowOff>24848</xdr:rowOff>
    </xdr:to>
    <xdr:graphicFrame macro="">
      <xdr:nvGraphicFramePr>
        <xdr:cNvPr id="13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Normal="100" workbookViewId="0">
      <selection activeCell="A25" sqref="A25:B25"/>
    </sheetView>
  </sheetViews>
  <sheetFormatPr baseColWidth="10" defaultRowHeight="12.75"/>
  <cols>
    <col min="1" max="1" width="61.85546875" style="24" customWidth="1"/>
    <col min="2" max="3" width="3.28515625" style="24" customWidth="1"/>
    <col min="4" max="4" width="74.28515625" style="24" customWidth="1"/>
    <col min="5" max="5" width="3.28515625" style="24" customWidth="1"/>
    <col min="6" max="6" width="3.28515625" style="24" bestFit="1" customWidth="1"/>
    <col min="7" max="16384" width="11.42578125" style="24"/>
  </cols>
  <sheetData>
    <row r="1" spans="1:6">
      <c r="A1" s="111" t="s">
        <v>7</v>
      </c>
      <c r="B1" s="112"/>
      <c r="C1" s="112"/>
      <c r="D1" s="112"/>
      <c r="E1" s="112"/>
      <c r="F1" s="113"/>
    </row>
    <row r="2" spans="1:6" ht="12.75" customHeight="1">
      <c r="A2" s="65" t="s">
        <v>2</v>
      </c>
      <c r="B2" s="120" t="s">
        <v>59</v>
      </c>
      <c r="C2" s="121"/>
      <c r="D2" s="121"/>
      <c r="E2" s="121"/>
      <c r="F2" s="122"/>
    </row>
    <row r="3" spans="1:6">
      <c r="A3" s="66" t="s">
        <v>1</v>
      </c>
      <c r="B3" s="123" t="s">
        <v>63</v>
      </c>
      <c r="C3" s="124"/>
      <c r="D3" s="124"/>
      <c r="E3" s="124"/>
      <c r="F3" s="125"/>
    </row>
    <row r="4" spans="1:6">
      <c r="A4" s="206" t="s">
        <v>61</v>
      </c>
      <c r="B4" s="93" t="s">
        <v>62</v>
      </c>
      <c r="C4" s="94"/>
      <c r="D4" s="94"/>
      <c r="E4" s="94"/>
      <c r="F4" s="95"/>
    </row>
    <row r="5" spans="1:6">
      <c r="A5" s="66" t="s">
        <v>23</v>
      </c>
      <c r="B5" s="126">
        <v>1</v>
      </c>
      <c r="C5" s="127"/>
      <c r="D5" s="127"/>
      <c r="E5" s="127"/>
      <c r="F5" s="128"/>
    </row>
    <row r="6" spans="1:6">
      <c r="A6" s="66" t="s">
        <v>0</v>
      </c>
      <c r="B6" s="105"/>
      <c r="C6" s="106"/>
      <c r="D6" s="106"/>
      <c r="E6" s="106"/>
      <c r="F6" s="107"/>
    </row>
    <row r="7" spans="1:6">
      <c r="A7" s="66" t="s">
        <v>6</v>
      </c>
      <c r="B7" s="105"/>
      <c r="C7" s="106"/>
      <c r="D7" s="106"/>
      <c r="E7" s="106"/>
      <c r="F7" s="107"/>
    </row>
    <row r="8" spans="1:6">
      <c r="A8" s="66" t="s">
        <v>3</v>
      </c>
      <c r="B8" s="114"/>
      <c r="C8" s="115"/>
      <c r="D8" s="115"/>
      <c r="E8" s="115"/>
      <c r="F8" s="116"/>
    </row>
    <row r="9" spans="1:6">
      <c r="A9" s="66" t="s">
        <v>4</v>
      </c>
      <c r="B9" s="114"/>
      <c r="C9" s="115"/>
      <c r="D9" s="115"/>
      <c r="E9" s="115"/>
      <c r="F9" s="116"/>
    </row>
    <row r="10" spans="1:6">
      <c r="A10" s="66" t="s">
        <v>5</v>
      </c>
      <c r="B10" s="117"/>
      <c r="C10" s="118"/>
      <c r="D10" s="118"/>
      <c r="E10" s="118"/>
      <c r="F10" s="119"/>
    </row>
    <row r="11" spans="1:6" ht="13.5" thickBot="1">
      <c r="A11" s="67" t="s">
        <v>21</v>
      </c>
      <c r="B11" s="105"/>
      <c r="C11" s="106"/>
      <c r="D11" s="106"/>
      <c r="E11" s="106"/>
      <c r="F11" s="107"/>
    </row>
    <row r="12" spans="1:6">
      <c r="A12" s="111" t="s">
        <v>36</v>
      </c>
      <c r="B12" s="112"/>
      <c r="C12" s="112"/>
      <c r="D12" s="112"/>
      <c r="E12" s="112"/>
      <c r="F12" s="113"/>
    </row>
    <row r="13" spans="1:6" ht="87.75" customHeight="1" thickBot="1">
      <c r="A13" s="108"/>
      <c r="B13" s="109"/>
      <c r="C13" s="109"/>
      <c r="D13" s="109"/>
      <c r="E13" s="109"/>
      <c r="F13" s="110"/>
    </row>
    <row r="14" spans="1:6" ht="12.75" customHeight="1">
      <c r="A14" s="96" t="s">
        <v>58</v>
      </c>
      <c r="B14" s="97"/>
      <c r="C14" s="97"/>
      <c r="D14" s="97"/>
      <c r="E14" s="97"/>
      <c r="F14" s="98"/>
    </row>
    <row r="15" spans="1:6" ht="38.25">
      <c r="A15" s="51" t="s">
        <v>76</v>
      </c>
      <c r="B15" s="63"/>
      <c r="C15" s="52"/>
      <c r="D15" s="53" t="s">
        <v>64</v>
      </c>
      <c r="E15" s="64"/>
      <c r="F15" s="54"/>
    </row>
    <row r="16" spans="1:6" ht="25.5">
      <c r="A16" s="55" t="s">
        <v>60</v>
      </c>
      <c r="B16" s="63"/>
      <c r="C16" s="52"/>
      <c r="D16" s="53" t="s">
        <v>65</v>
      </c>
      <c r="E16" s="64"/>
      <c r="F16" s="54"/>
    </row>
    <row r="17" spans="1:6" ht="25.5" customHeight="1">
      <c r="A17" s="55" t="s">
        <v>77</v>
      </c>
      <c r="B17" s="59"/>
      <c r="C17" s="56"/>
      <c r="D17" s="57"/>
      <c r="E17" s="60"/>
      <c r="F17" s="58"/>
    </row>
    <row r="18" spans="1:6" ht="13.5" thickBot="1">
      <c r="A18" s="129" t="s">
        <v>31</v>
      </c>
      <c r="B18" s="130"/>
      <c r="C18" s="130"/>
      <c r="D18" s="130"/>
      <c r="E18" s="130"/>
      <c r="F18" s="131"/>
    </row>
    <row r="19" spans="1:6" ht="13.5" thickBot="1">
      <c r="A19" s="132" t="s">
        <v>32</v>
      </c>
      <c r="B19" s="133"/>
      <c r="C19" s="133"/>
      <c r="D19" s="133"/>
      <c r="E19" s="133"/>
      <c r="F19" s="134"/>
    </row>
    <row r="20" spans="1:6">
      <c r="A20" s="210" t="s">
        <v>72</v>
      </c>
      <c r="B20" s="211"/>
      <c r="C20" s="212"/>
      <c r="D20" s="213" t="s">
        <v>35</v>
      </c>
      <c r="E20" s="214"/>
      <c r="F20" s="215"/>
    </row>
    <row r="21" spans="1:6">
      <c r="A21" s="135" t="s">
        <v>66</v>
      </c>
      <c r="B21" s="104"/>
      <c r="C21" s="207"/>
      <c r="D21" s="99" t="s">
        <v>41</v>
      </c>
      <c r="E21" s="100"/>
      <c r="F21" s="61"/>
    </row>
    <row r="22" spans="1:6">
      <c r="A22" s="101" t="s">
        <v>67</v>
      </c>
      <c r="B22" s="100"/>
      <c r="C22" s="62"/>
      <c r="D22" s="99" t="s">
        <v>71</v>
      </c>
      <c r="E22" s="100"/>
      <c r="F22" s="61"/>
    </row>
    <row r="23" spans="1:6">
      <c r="A23" s="101" t="s">
        <v>70</v>
      </c>
      <c r="B23" s="100"/>
      <c r="C23" s="62"/>
      <c r="D23" s="103" t="s">
        <v>69</v>
      </c>
      <c r="E23" s="104"/>
      <c r="F23" s="61"/>
    </row>
    <row r="24" spans="1:6">
      <c r="A24" s="135" t="s">
        <v>40</v>
      </c>
      <c r="B24" s="104"/>
      <c r="C24" s="207"/>
      <c r="D24" s="99" t="s">
        <v>68</v>
      </c>
      <c r="E24" s="100"/>
      <c r="F24" s="61"/>
    </row>
    <row r="25" spans="1:6">
      <c r="A25" s="101" t="s">
        <v>34</v>
      </c>
      <c r="B25" s="100"/>
      <c r="C25" s="207"/>
      <c r="D25" s="99" t="s">
        <v>33</v>
      </c>
      <c r="E25" s="100"/>
      <c r="F25" s="61"/>
    </row>
    <row r="26" spans="1:6" ht="13.5" thickBot="1">
      <c r="A26" s="216"/>
      <c r="B26" s="217"/>
      <c r="C26" s="218"/>
      <c r="D26" s="208"/>
      <c r="E26" s="209"/>
      <c r="F26" s="219"/>
    </row>
    <row r="27" spans="1:6" ht="13.5" thickBot="1">
      <c r="A27" s="231" t="s">
        <v>73</v>
      </c>
      <c r="B27" s="232"/>
      <c r="C27" s="232"/>
      <c r="D27" s="232"/>
      <c r="E27" s="232"/>
      <c r="F27" s="233"/>
    </row>
    <row r="28" spans="1:6" ht="13.5" customHeight="1">
      <c r="A28" s="205" t="s">
        <v>56</v>
      </c>
      <c r="B28" s="204"/>
      <c r="C28" s="204"/>
      <c r="D28" s="204"/>
      <c r="E28" s="204"/>
      <c r="F28" s="204"/>
    </row>
    <row r="29" spans="1:6">
      <c r="A29" s="229" t="s">
        <v>106</v>
      </c>
      <c r="B29" s="204"/>
      <c r="C29" s="204"/>
      <c r="D29" s="204"/>
      <c r="E29" s="204"/>
      <c r="F29" s="204"/>
    </row>
    <row r="30" spans="1:6" ht="12.75" customHeight="1" thickBot="1">
      <c r="A30" s="230" t="s">
        <v>57</v>
      </c>
      <c r="B30" s="204"/>
      <c r="C30" s="204"/>
      <c r="D30" s="204"/>
      <c r="E30" s="204"/>
      <c r="F30" s="204"/>
    </row>
    <row r="31" spans="1:6">
      <c r="D31" s="102">
        <f ca="1">TODAY()</f>
        <v>41423</v>
      </c>
      <c r="E31" s="102"/>
      <c r="F31" s="102"/>
    </row>
  </sheetData>
  <sheetProtection pivotTables="0"/>
  <mergeCells count="31">
    <mergeCell ref="D20:E20"/>
    <mergeCell ref="A25:B25"/>
    <mergeCell ref="D31:F31"/>
    <mergeCell ref="A21:B21"/>
    <mergeCell ref="D21:E21"/>
    <mergeCell ref="A22:B22"/>
    <mergeCell ref="D22:E22"/>
    <mergeCell ref="A23:B23"/>
    <mergeCell ref="D23:E23"/>
    <mergeCell ref="A20:B20"/>
    <mergeCell ref="D25:E25"/>
    <mergeCell ref="A1:F1"/>
    <mergeCell ref="B5:F5"/>
    <mergeCell ref="A18:F18"/>
    <mergeCell ref="A19:F19"/>
    <mergeCell ref="A26:B26"/>
    <mergeCell ref="D24:E24"/>
    <mergeCell ref="B7:F7"/>
    <mergeCell ref="B8:F8"/>
    <mergeCell ref="B9:F9"/>
    <mergeCell ref="B10:F10"/>
    <mergeCell ref="B6:F6"/>
    <mergeCell ref="B2:F2"/>
    <mergeCell ref="B3:F3"/>
    <mergeCell ref="A27:F27"/>
    <mergeCell ref="B11:F11"/>
    <mergeCell ref="A13:F13"/>
    <mergeCell ref="A12:F12"/>
    <mergeCell ref="A24:B24"/>
    <mergeCell ref="B4:F4"/>
    <mergeCell ref="A14:F14"/>
  </mergeCells>
  <phoneticPr fontId="6" type="noConversion"/>
  <printOptions horizontalCentered="1" verticalCentered="1"/>
  <pageMargins left="0.74803149606299213" right="0.55118110236220474" top="0.70866141732283472" bottom="0.6692913385826772" header="0.51181102362204722" footer="0.51181102362204722"/>
  <pageSetup paperSize="9" scale="89" orientation="landscape" horizontalDpi="4294967293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0" zoomScaleNormal="70" workbookViewId="0">
      <selection activeCell="C37" sqref="C37"/>
    </sheetView>
  </sheetViews>
  <sheetFormatPr baseColWidth="10" defaultRowHeight="12.75"/>
  <cols>
    <col min="1" max="1" width="19.140625" style="16" customWidth="1"/>
    <col min="2" max="2" width="51.140625" style="2" customWidth="1"/>
    <col min="3" max="3" width="87.5703125" style="1" customWidth="1"/>
    <col min="4" max="4" width="4.85546875" style="18" customWidth="1"/>
    <col min="5" max="8" width="3.7109375" style="6" customWidth="1"/>
    <col min="9" max="9" width="2.5703125" style="41" customWidth="1"/>
    <col min="10" max="10" width="21.140625" style="9" customWidth="1"/>
    <col min="11" max="11" width="5.7109375" style="26" customWidth="1"/>
    <col min="12" max="12" width="5.5703125" style="31" bestFit="1" customWidth="1"/>
    <col min="13" max="13" width="10.42578125" style="32" bestFit="1" customWidth="1"/>
    <col min="14" max="14" width="2.28515625" style="33" bestFit="1" customWidth="1"/>
    <col min="15" max="15" width="6.5703125" style="34" bestFit="1" customWidth="1"/>
    <col min="16" max="16" width="8.7109375" style="34" bestFit="1" customWidth="1"/>
    <col min="17" max="17" width="2.28515625" style="49" bestFit="1" customWidth="1"/>
    <col min="18" max="18" width="6.85546875" style="49" bestFit="1" customWidth="1"/>
    <col min="19" max="19" width="2.28515625" style="33" bestFit="1" customWidth="1"/>
    <col min="20" max="20" width="11.42578125" style="33"/>
    <col min="21" max="21" width="11.5703125" style="68" bestFit="1" customWidth="1"/>
    <col min="22" max="26" width="11.42578125" style="68"/>
    <col min="27" max="28" width="11.42578125" style="33"/>
    <col min="29" max="16384" width="11.42578125" style="1"/>
  </cols>
  <sheetData>
    <row r="1" spans="1:28">
      <c r="A1" s="16" t="str">
        <f>Identification!B2</f>
        <v>BEP « Systèmes Electroniques Numériques »</v>
      </c>
      <c r="B1" s="190"/>
      <c r="C1" s="38" t="str">
        <f>Identification!B3</f>
        <v>Epreuve E1 - ÉTUDE D'UN SYSTÈME - Durée recommandée : 1h</v>
      </c>
      <c r="D1" s="3"/>
      <c r="E1" s="28"/>
      <c r="F1" s="30"/>
      <c r="I1" s="40"/>
      <c r="M1" s="85"/>
      <c r="N1" s="86"/>
      <c r="O1" s="87"/>
      <c r="P1" s="87"/>
      <c r="Q1" s="88"/>
      <c r="R1" s="88"/>
      <c r="S1" s="86"/>
      <c r="T1" s="86"/>
      <c r="U1" s="86"/>
      <c r="V1" s="86"/>
      <c r="W1" s="86"/>
    </row>
    <row r="2" spans="1:28">
      <c r="A2" s="1"/>
      <c r="B2" s="1"/>
      <c r="C2" s="25">
        <f>Identification!B8</f>
        <v>0</v>
      </c>
      <c r="D2" s="137">
        <f>Identification!B9</f>
        <v>0</v>
      </c>
      <c r="E2" s="137"/>
      <c r="F2" s="137"/>
      <c r="G2" s="137"/>
      <c r="H2" s="137"/>
      <c r="K2" s="25" t="s">
        <v>13</v>
      </c>
      <c r="M2" s="85"/>
      <c r="N2" s="86"/>
      <c r="O2" s="87"/>
      <c r="P2" s="87"/>
      <c r="Q2" s="88"/>
      <c r="R2" s="88"/>
      <c r="S2" s="86"/>
      <c r="T2" s="86"/>
      <c r="U2" s="86"/>
      <c r="V2" s="86"/>
      <c r="W2" s="86"/>
    </row>
    <row r="3" spans="1:28" ht="13.5" thickBot="1">
      <c r="A3" s="138" t="s">
        <v>9</v>
      </c>
      <c r="B3" s="138"/>
      <c r="C3" s="23" t="s">
        <v>25</v>
      </c>
      <c r="D3" s="37" t="s">
        <v>17</v>
      </c>
      <c r="E3" s="29">
        <v>0</v>
      </c>
      <c r="F3" s="29">
        <v>1</v>
      </c>
      <c r="G3" s="29">
        <v>2</v>
      </c>
      <c r="H3" s="29">
        <v>3</v>
      </c>
      <c r="K3" s="36" t="s">
        <v>12</v>
      </c>
      <c r="M3" s="85" t="s">
        <v>14</v>
      </c>
      <c r="N3" s="86"/>
      <c r="O3" s="87"/>
      <c r="P3" s="87"/>
      <c r="Q3" s="88"/>
      <c r="R3" s="88"/>
      <c r="S3" s="86"/>
      <c r="T3" s="86"/>
      <c r="U3" s="26"/>
      <c r="V3" s="86"/>
      <c r="W3" s="86"/>
    </row>
    <row r="4" spans="1:28" s="75" customFormat="1" ht="15">
      <c r="A4" s="141" t="s">
        <v>75</v>
      </c>
      <c r="B4" s="142"/>
      <c r="C4" s="142"/>
      <c r="D4" s="142"/>
      <c r="E4" s="142"/>
      <c r="F4" s="142"/>
      <c r="G4" s="142"/>
      <c r="H4" s="143"/>
      <c r="I4" s="71"/>
      <c r="J4" s="72"/>
      <c r="K4" s="27">
        <v>0.3</v>
      </c>
      <c r="L4" s="74"/>
      <c r="M4" s="89">
        <f>IF(N4=1,SUMPRODUCT(M5:M13,N5:N13)/SUMPRODUCT(K5:K13,N5:N13),0)</f>
        <v>11.272727272727272</v>
      </c>
      <c r="N4" s="86">
        <f>IF(SUM(N5:N13)=0,0,1)</f>
        <v>1</v>
      </c>
      <c r="O4" s="87"/>
      <c r="P4" s="87">
        <f>SUM(P5:P13)</f>
        <v>0.55000000000000004</v>
      </c>
      <c r="Q4" s="88"/>
      <c r="R4" s="88"/>
      <c r="S4" s="86"/>
      <c r="T4" s="86"/>
      <c r="U4" s="90"/>
      <c r="V4" s="90"/>
      <c r="W4" s="90"/>
      <c r="X4" s="73"/>
      <c r="Y4" s="73"/>
      <c r="Z4" s="73"/>
      <c r="AA4" s="74"/>
      <c r="AB4" s="74"/>
    </row>
    <row r="5" spans="1:28">
      <c r="A5" s="186" t="s">
        <v>49</v>
      </c>
      <c r="B5" s="187"/>
      <c r="C5" s="76" t="s">
        <v>80</v>
      </c>
      <c r="D5" s="22" t="s">
        <v>51</v>
      </c>
      <c r="E5" s="69"/>
      <c r="F5" s="69"/>
      <c r="G5" s="69"/>
      <c r="H5" s="70"/>
      <c r="I5" s="41" t="str">
        <f t="shared" ref="I5:I17" si="0">IF(N5&gt;1,"◄",(IF(S5&gt;0,"◄","")))</f>
        <v/>
      </c>
      <c r="J5" s="10"/>
      <c r="K5" s="26">
        <v>0.14000000000000001</v>
      </c>
      <c r="M5" s="85">
        <f>IF(H5&lt;&gt;"",1,IF(G5&lt;&gt;"",2/3,IF(F5&lt;&gt;"",1/3,0)))*K5*20</f>
        <v>0</v>
      </c>
      <c r="N5" s="86">
        <f>IF(D5="",IF(E5&lt;&gt;"",1,0)+IF(F5&lt;&gt;"",1,0)+IF(G5&lt;&gt;"",1,0)+IF(H5&lt;&gt;"",1,0),0)</f>
        <v>0</v>
      </c>
      <c r="O5" s="87">
        <f>IF(D5&lt;&gt;"",0,IF(E5="",(M5/(K5*20)),0.02+(M5/(K5*20))))</f>
        <v>0</v>
      </c>
      <c r="P5" s="87">
        <f>IF(D5&lt;&gt;"",0,K5)</f>
        <v>0</v>
      </c>
      <c r="Q5" s="88">
        <f>IF(I5&lt;&gt;"",1,0)</f>
        <v>0</v>
      </c>
      <c r="R5" s="88">
        <f>IF(D5="",OR(E5&lt;&gt;"",F5&lt;&gt;"",G5&lt;&gt;"",H5&lt;&gt;""),0)</f>
        <v>0</v>
      </c>
      <c r="S5" s="86">
        <f>IF(D5&lt;&gt;"",IF(E5&lt;&gt;"",1,0)+IF(F5&lt;&gt;"",1,0)+IF(G5&lt;&gt;"",1,0)+IF(H5&lt;&gt;"",1,0),0)</f>
        <v>0</v>
      </c>
      <c r="T5" s="86"/>
      <c r="U5" s="227"/>
      <c r="V5" s="86"/>
      <c r="W5" s="86"/>
    </row>
    <row r="6" spans="1:28">
      <c r="A6" s="186"/>
      <c r="B6" s="187"/>
      <c r="C6" s="194" t="s">
        <v>81</v>
      </c>
      <c r="D6" s="195" t="s">
        <v>51</v>
      </c>
      <c r="E6" s="196"/>
      <c r="F6" s="196"/>
      <c r="G6" s="196"/>
      <c r="H6" s="197"/>
      <c r="J6" s="10"/>
      <c r="K6" s="26">
        <v>0.14000000000000001</v>
      </c>
      <c r="M6" s="85">
        <f>IF(H6&lt;&gt;"",1,IF(G6&lt;&gt;"",2/3,IF(F6&lt;&gt;"",1/3,0)))*K6*20</f>
        <v>0</v>
      </c>
      <c r="N6" s="86">
        <f>IF(D6="",IF(E6&lt;&gt;"",1,0)+IF(F6&lt;&gt;"",1,0)+IF(G6&lt;&gt;"",1,0)+IF(H6&lt;&gt;"",1,0),0)</f>
        <v>0</v>
      </c>
      <c r="O6" s="87">
        <f>IF(D6&lt;&gt;"",0,IF(E6="",(M6/(K6*20)),0.02+(M6/(K6*20))))</f>
        <v>0</v>
      </c>
      <c r="P6" s="87">
        <f>IF(D6&lt;&gt;"",0,K6)</f>
        <v>0</v>
      </c>
      <c r="Q6" s="88">
        <f>IF(I6&lt;&gt;"",1,0)</f>
        <v>0</v>
      </c>
      <c r="R6" s="88">
        <f>IF(D6="",OR(E6&lt;&gt;"",F6&lt;&gt;"",G6&lt;&gt;"",H6&lt;&gt;""),0)</f>
        <v>0</v>
      </c>
      <c r="S6" s="86">
        <f>IF(D6&lt;&gt;"",IF(E6&lt;&gt;"",1,0)+IF(F6&lt;&gt;"",1,0)+IF(G6&lt;&gt;"",1,0)+IF(H6&lt;&gt;"",1,0),0)</f>
        <v>0</v>
      </c>
      <c r="T6" s="86"/>
      <c r="U6" s="227"/>
      <c r="V6" s="86"/>
      <c r="W6" s="86"/>
    </row>
    <row r="7" spans="1:28">
      <c r="A7" s="186"/>
      <c r="B7" s="187"/>
      <c r="C7" s="76" t="s">
        <v>42</v>
      </c>
      <c r="D7" s="22"/>
      <c r="E7" s="13"/>
      <c r="F7" s="13"/>
      <c r="G7" s="69" t="s">
        <v>51</v>
      </c>
      <c r="H7" s="70"/>
      <c r="I7" s="41" t="str">
        <f t="shared" si="0"/>
        <v/>
      </c>
      <c r="J7" s="10"/>
      <c r="K7" s="26">
        <v>0.14000000000000001</v>
      </c>
      <c r="M7" s="85">
        <f t="shared" ref="M7:M13" si="1">IF(H7&lt;&gt;"",1,IF(G7&lt;&gt;"",2/3,IF(F7&lt;&gt;"",1/3,0)))*K7*20</f>
        <v>1.8666666666666667</v>
      </c>
      <c r="N7" s="86">
        <f t="shared" ref="N7:N13" si="2">IF(D7="",IF(E7&lt;&gt;"",1,0)+IF(F7&lt;&gt;"",1,0)+IF(G7&lt;&gt;"",1,0)+IF(H7&lt;&gt;"",1,0),0)</f>
        <v>1</v>
      </c>
      <c r="O7" s="87">
        <f t="shared" ref="O7:O13" si="3">IF(D7&lt;&gt;"",0,IF(E7="",(M7/(K7*20)),0.02+(M7/(K7*20))))</f>
        <v>0.66666666666666663</v>
      </c>
      <c r="P7" s="87">
        <f t="shared" ref="P7:P13" si="4">IF(D7&lt;&gt;"",0,K7)</f>
        <v>0.14000000000000001</v>
      </c>
      <c r="Q7" s="88">
        <f t="shared" ref="Q7:Q13" si="5">IF(I7&lt;&gt;"",1,0)</f>
        <v>0</v>
      </c>
      <c r="R7" s="88" t="b">
        <f t="shared" ref="R7:R13" si="6">IF(D7="",OR(E7&lt;&gt;"",F7&lt;&gt;"",G7&lt;&gt;"",H7&lt;&gt;""),0)</f>
        <v>1</v>
      </c>
      <c r="S7" s="86">
        <f t="shared" ref="S7:S13" si="7">IF(D7&lt;&gt;"",IF(E7&lt;&gt;"",1,0)+IF(F7&lt;&gt;"",1,0)+IF(G7&lt;&gt;"",1,0)+IF(H7&lt;&gt;"",1,0),0)</f>
        <v>0</v>
      </c>
      <c r="T7" s="86"/>
      <c r="U7" s="227"/>
      <c r="V7" s="86"/>
      <c r="W7" s="86"/>
    </row>
    <row r="8" spans="1:28" ht="12.75" customHeight="1">
      <c r="A8" s="184" t="s">
        <v>54</v>
      </c>
      <c r="B8" s="185"/>
      <c r="C8" s="194" t="s">
        <v>43</v>
      </c>
      <c r="D8" s="195" t="s">
        <v>51</v>
      </c>
      <c r="E8" s="198"/>
      <c r="F8" s="198"/>
      <c r="G8" s="198"/>
      <c r="H8" s="199"/>
      <c r="I8" s="41" t="str">
        <f t="shared" si="0"/>
        <v/>
      </c>
      <c r="J8" s="10"/>
      <c r="K8" s="26">
        <v>7.0000000000000007E-2</v>
      </c>
      <c r="M8" s="85">
        <f t="shared" si="1"/>
        <v>0</v>
      </c>
      <c r="N8" s="86">
        <f t="shared" si="2"/>
        <v>0</v>
      </c>
      <c r="O8" s="87">
        <f t="shared" si="3"/>
        <v>0</v>
      </c>
      <c r="P8" s="87">
        <f t="shared" si="4"/>
        <v>0</v>
      </c>
      <c r="Q8" s="88">
        <f t="shared" si="5"/>
        <v>0</v>
      </c>
      <c r="R8" s="88">
        <f t="shared" si="6"/>
        <v>0</v>
      </c>
      <c r="S8" s="86">
        <f t="shared" si="7"/>
        <v>0</v>
      </c>
      <c r="T8" s="86"/>
      <c r="U8" s="227"/>
      <c r="V8" s="86"/>
      <c r="W8" s="86"/>
    </row>
    <row r="9" spans="1:28" ht="12.75" customHeight="1">
      <c r="A9" s="182"/>
      <c r="B9" s="183"/>
      <c r="C9" s="76" t="s">
        <v>44</v>
      </c>
      <c r="D9" s="22"/>
      <c r="E9" s="13"/>
      <c r="F9" s="13"/>
      <c r="G9" s="13" t="s">
        <v>51</v>
      </c>
      <c r="H9" s="14"/>
      <c r="I9" s="41" t="str">
        <f t="shared" si="0"/>
        <v/>
      </c>
      <c r="J9" s="10"/>
      <c r="K9" s="26">
        <v>0.14000000000000001</v>
      </c>
      <c r="M9" s="85">
        <f t="shared" si="1"/>
        <v>1.8666666666666667</v>
      </c>
      <c r="N9" s="86">
        <f t="shared" si="2"/>
        <v>1</v>
      </c>
      <c r="O9" s="87">
        <f t="shared" si="3"/>
        <v>0.66666666666666663</v>
      </c>
      <c r="P9" s="87">
        <f t="shared" si="4"/>
        <v>0.14000000000000001</v>
      </c>
      <c r="Q9" s="88">
        <f t="shared" si="5"/>
        <v>0</v>
      </c>
      <c r="R9" s="88" t="b">
        <f t="shared" si="6"/>
        <v>1</v>
      </c>
      <c r="S9" s="86">
        <f t="shared" si="7"/>
        <v>0</v>
      </c>
      <c r="T9" s="86"/>
      <c r="U9" s="227"/>
      <c r="V9" s="86"/>
      <c r="W9" s="86"/>
    </row>
    <row r="10" spans="1:28" ht="12.75" customHeight="1">
      <c r="A10" s="200"/>
      <c r="B10" s="201"/>
      <c r="C10" s="194" t="s">
        <v>45</v>
      </c>
      <c r="D10" s="195"/>
      <c r="E10" s="198"/>
      <c r="F10" s="198" t="s">
        <v>51</v>
      </c>
      <c r="G10" s="198"/>
      <c r="H10" s="199"/>
      <c r="I10" s="41" t="str">
        <f t="shared" si="0"/>
        <v/>
      </c>
      <c r="J10" s="10"/>
      <c r="K10" s="26">
        <v>7.0000000000000007E-2</v>
      </c>
      <c r="M10" s="85">
        <f t="shared" si="1"/>
        <v>0.46666666666666667</v>
      </c>
      <c r="N10" s="86">
        <f t="shared" si="2"/>
        <v>1</v>
      </c>
      <c r="O10" s="87">
        <f t="shared" si="3"/>
        <v>0.33333333333333331</v>
      </c>
      <c r="P10" s="87">
        <f t="shared" si="4"/>
        <v>7.0000000000000007E-2</v>
      </c>
      <c r="Q10" s="88">
        <f t="shared" si="5"/>
        <v>0</v>
      </c>
      <c r="R10" s="88" t="b">
        <f t="shared" si="6"/>
        <v>1</v>
      </c>
      <c r="S10" s="86">
        <f t="shared" si="7"/>
        <v>0</v>
      </c>
      <c r="T10" s="86"/>
      <c r="U10" s="227"/>
      <c r="V10" s="86"/>
      <c r="W10" s="86"/>
    </row>
    <row r="11" spans="1:28">
      <c r="A11" s="188" t="s">
        <v>50</v>
      </c>
      <c r="B11" s="189"/>
      <c r="C11" s="76" t="s">
        <v>46</v>
      </c>
      <c r="D11" s="22"/>
      <c r="E11" s="13"/>
      <c r="F11" s="13" t="s">
        <v>51</v>
      </c>
      <c r="G11" s="13"/>
      <c r="H11" s="14"/>
      <c r="I11" s="41" t="str">
        <f t="shared" si="0"/>
        <v/>
      </c>
      <c r="J11" s="10"/>
      <c r="K11" s="26">
        <v>0.1</v>
      </c>
      <c r="M11" s="85">
        <f t="shared" si="1"/>
        <v>0.66666666666666663</v>
      </c>
      <c r="N11" s="86">
        <f t="shared" si="2"/>
        <v>1</v>
      </c>
      <c r="O11" s="87">
        <f t="shared" si="3"/>
        <v>0.33333333333333331</v>
      </c>
      <c r="P11" s="87">
        <f t="shared" si="4"/>
        <v>0.1</v>
      </c>
      <c r="Q11" s="88">
        <f t="shared" si="5"/>
        <v>0</v>
      </c>
      <c r="R11" s="88" t="b">
        <f t="shared" si="6"/>
        <v>1</v>
      </c>
      <c r="S11" s="86">
        <f t="shared" si="7"/>
        <v>0</v>
      </c>
      <c r="T11" s="86"/>
      <c r="U11" s="227"/>
      <c r="V11" s="86"/>
      <c r="W11" s="86"/>
    </row>
    <row r="12" spans="1:28">
      <c r="A12" s="191"/>
      <c r="B12" s="192"/>
      <c r="C12" s="194" t="s">
        <v>47</v>
      </c>
      <c r="D12" s="195"/>
      <c r="E12" s="198"/>
      <c r="F12" s="198"/>
      <c r="G12" s="198" t="s">
        <v>51</v>
      </c>
      <c r="H12" s="199"/>
      <c r="I12" s="41" t="str">
        <f t="shared" si="0"/>
        <v/>
      </c>
      <c r="J12" s="10"/>
      <c r="K12" s="26">
        <v>0.1</v>
      </c>
      <c r="M12" s="85">
        <f t="shared" si="1"/>
        <v>1.3333333333333333</v>
      </c>
      <c r="N12" s="86">
        <f t="shared" si="2"/>
        <v>1</v>
      </c>
      <c r="O12" s="87">
        <f t="shared" si="3"/>
        <v>0.66666666666666663</v>
      </c>
      <c r="P12" s="87">
        <f t="shared" si="4"/>
        <v>0.1</v>
      </c>
      <c r="Q12" s="88">
        <f t="shared" si="5"/>
        <v>0</v>
      </c>
      <c r="R12" s="88" t="b">
        <f t="shared" si="6"/>
        <v>1</v>
      </c>
      <c r="S12" s="86">
        <f t="shared" si="7"/>
        <v>0</v>
      </c>
      <c r="T12" s="86"/>
      <c r="U12" s="227"/>
      <c r="V12" s="86"/>
      <c r="W12" s="86"/>
    </row>
    <row r="13" spans="1:28">
      <c r="A13" s="186" t="s">
        <v>104</v>
      </c>
      <c r="B13" s="187"/>
      <c r="C13" s="181" t="s">
        <v>48</v>
      </c>
      <c r="D13" s="22" t="s">
        <v>51</v>
      </c>
      <c r="E13" s="13"/>
      <c r="F13" s="13"/>
      <c r="G13" s="13"/>
      <c r="H13" s="14"/>
      <c r="I13" s="41" t="str">
        <f t="shared" si="0"/>
        <v/>
      </c>
      <c r="J13" s="10"/>
      <c r="K13" s="26">
        <v>0.1</v>
      </c>
      <c r="L13" s="35">
        <f>SUM(K5:K13)</f>
        <v>1.0000000000000002</v>
      </c>
      <c r="M13" s="85">
        <f t="shared" si="1"/>
        <v>0</v>
      </c>
      <c r="N13" s="86">
        <f t="shared" si="2"/>
        <v>0</v>
      </c>
      <c r="O13" s="87">
        <f t="shared" si="3"/>
        <v>0</v>
      </c>
      <c r="P13" s="87">
        <f t="shared" si="4"/>
        <v>0</v>
      </c>
      <c r="Q13" s="88">
        <f t="shared" si="5"/>
        <v>0</v>
      </c>
      <c r="R13" s="88">
        <f t="shared" si="6"/>
        <v>0</v>
      </c>
      <c r="S13" s="86">
        <f t="shared" si="7"/>
        <v>0</v>
      </c>
      <c r="T13" s="86"/>
      <c r="U13" s="227"/>
      <c r="V13" s="86"/>
      <c r="W13" s="86"/>
    </row>
    <row r="14" spans="1:28" ht="15">
      <c r="A14" s="193" t="s">
        <v>74</v>
      </c>
      <c r="B14" s="193"/>
      <c r="C14" s="193"/>
      <c r="D14" s="193"/>
      <c r="E14" s="193"/>
      <c r="F14" s="193"/>
      <c r="G14" s="193"/>
      <c r="H14" s="193"/>
      <c r="J14" s="11"/>
      <c r="K14" s="27">
        <v>0.15</v>
      </c>
      <c r="M14" s="89">
        <f>IF(N14=1,SUMPRODUCT(M15:M17,N15:N17)/SUMPRODUCT(K15:K17,N15:N17),0)</f>
        <v>10.799999999999999</v>
      </c>
      <c r="N14" s="86">
        <f>IF(SUM(N15:N17)=0,0,1)</f>
        <v>1</v>
      </c>
      <c r="O14" s="87"/>
      <c r="P14" s="87">
        <f>SUM(P15:P17)</f>
        <v>1</v>
      </c>
      <c r="Q14" s="88"/>
      <c r="R14" s="88" t="b">
        <f>OR(R5=FALSE,R6=FALSE,R7=FALSE,R8=FALSE,R9=FALSE,R10=FALSE,R11=FALSE,R12=FALSE,R13=FALSE)</f>
        <v>0</v>
      </c>
      <c r="S14" s="86">
        <f t="shared" ref="S14:S17" si="8">IF(D14&lt;&gt;"",IF(E14&lt;&gt;"",1,0)+IF(F14&lt;&gt;"",1,0)+IF(G14&lt;&gt;"",1,0)+IF(H14&lt;&gt;"",1,0),0)</f>
        <v>0</v>
      </c>
      <c r="T14" s="86"/>
      <c r="U14" s="228"/>
      <c r="V14" s="86"/>
      <c r="W14" s="86"/>
    </row>
    <row r="15" spans="1:28">
      <c r="A15" s="202" t="s">
        <v>82</v>
      </c>
      <c r="B15" s="203"/>
      <c r="C15" s="194" t="s">
        <v>83</v>
      </c>
      <c r="D15" s="195"/>
      <c r="E15" s="198"/>
      <c r="F15" s="198"/>
      <c r="G15" s="196" t="s">
        <v>51</v>
      </c>
      <c r="H15" s="197"/>
      <c r="I15" s="41" t="str">
        <f t="shared" si="0"/>
        <v/>
      </c>
      <c r="J15" s="10"/>
      <c r="K15" s="26">
        <v>0.24</v>
      </c>
      <c r="M15" s="85">
        <f t="shared" ref="M15:M17" si="9">IF(H15&lt;&gt;"",1,IF(G15&lt;&gt;"",2/3,IF(F15&lt;&gt;"",1/3,0)))*K15*20</f>
        <v>3.1999999999999993</v>
      </c>
      <c r="N15" s="86">
        <f t="shared" ref="N15:N17" si="10">IF(D15="",IF(E15&lt;&gt;"",1,0)+IF(F15&lt;&gt;"",1,0)+IF(G15&lt;&gt;"",1,0)+IF(H15&lt;&gt;"",1,0),0)</f>
        <v>1</v>
      </c>
      <c r="O15" s="87">
        <f t="shared" ref="O15:O17" si="11">IF(D15&lt;&gt;"",0,IF(E15="",(M15/(K15*20)),0.02+(M15/(K15*20))))</f>
        <v>0.66666666666666652</v>
      </c>
      <c r="P15" s="87">
        <f t="shared" ref="P15:P17" si="12">IF(D15&lt;&gt;"",0,K15)</f>
        <v>0.24</v>
      </c>
      <c r="Q15" s="88">
        <f t="shared" ref="Q15:Q17" si="13">IF(I15&lt;&gt;"",1,0)</f>
        <v>0</v>
      </c>
      <c r="R15" s="88" t="b">
        <f t="shared" ref="R15:R17" si="14">IF(D15="",OR(E15&lt;&gt;"",F15&lt;&gt;"",G15&lt;&gt;"",H15&lt;&gt;""),0)</f>
        <v>1</v>
      </c>
      <c r="S15" s="86">
        <f t="shared" si="8"/>
        <v>0</v>
      </c>
      <c r="T15" s="86"/>
      <c r="U15" s="227"/>
      <c r="V15" s="86"/>
      <c r="W15" s="86"/>
    </row>
    <row r="16" spans="1:28">
      <c r="A16" s="202"/>
      <c r="B16" s="203"/>
      <c r="C16" s="76" t="s">
        <v>84</v>
      </c>
      <c r="D16" s="22"/>
      <c r="E16" s="69"/>
      <c r="F16" s="69" t="s">
        <v>51</v>
      </c>
      <c r="G16" s="69"/>
      <c r="H16" s="70"/>
      <c r="J16" s="10"/>
      <c r="K16" s="26">
        <v>0.38</v>
      </c>
      <c r="M16" s="85">
        <f t="shared" ref="M16" si="15">IF(H16&lt;&gt;"",1,IF(G16&lt;&gt;"",2/3,IF(F16&lt;&gt;"",1/3,0)))*K16*20</f>
        <v>2.5333333333333332</v>
      </c>
      <c r="N16" s="86">
        <f t="shared" ref="N16" si="16">IF(D16="",IF(E16&lt;&gt;"",1,0)+IF(F16&lt;&gt;"",1,0)+IF(G16&lt;&gt;"",1,0)+IF(H16&lt;&gt;"",1,0),0)</f>
        <v>1</v>
      </c>
      <c r="O16" s="87">
        <f t="shared" ref="O16" si="17">IF(D16&lt;&gt;"",0,IF(E16="",(M16/(K16*20)),0.02+(M16/(K16*20))))</f>
        <v>0.33333333333333331</v>
      </c>
      <c r="P16" s="87">
        <f t="shared" ref="P16" si="18">IF(D16&lt;&gt;"",0,K16)</f>
        <v>0.38</v>
      </c>
      <c r="Q16" s="88">
        <f t="shared" ref="Q16" si="19">IF(I16&lt;&gt;"",1,0)</f>
        <v>0</v>
      </c>
      <c r="R16" s="88" t="b">
        <f t="shared" ref="R16" si="20">IF(D16="",OR(E16&lt;&gt;"",F16&lt;&gt;"",G16&lt;&gt;"",H16&lt;&gt;""),0)</f>
        <v>1</v>
      </c>
      <c r="S16" s="86">
        <f t="shared" ref="S16" si="21">IF(D16&lt;&gt;"",IF(E16&lt;&gt;"",1,0)+IF(F16&lt;&gt;"",1,0)+IF(G16&lt;&gt;"",1,0)+IF(H16&lt;&gt;"",1,0),0)</f>
        <v>0</v>
      </c>
      <c r="T16" s="86"/>
      <c r="U16" s="227"/>
      <c r="V16" s="86"/>
      <c r="W16" s="86"/>
    </row>
    <row r="17" spans="1:23" ht="15" customHeight="1">
      <c r="A17" s="202"/>
      <c r="B17" s="203"/>
      <c r="C17" s="194" t="s">
        <v>97</v>
      </c>
      <c r="D17" s="195"/>
      <c r="E17" s="198"/>
      <c r="F17" s="198"/>
      <c r="G17" s="198" t="s">
        <v>51</v>
      </c>
      <c r="H17" s="199"/>
      <c r="I17" s="41" t="str">
        <f t="shared" si="0"/>
        <v/>
      </c>
      <c r="J17" s="10"/>
      <c r="K17" s="26">
        <v>0.38</v>
      </c>
      <c r="M17" s="85">
        <f t="shared" si="9"/>
        <v>5.0666666666666664</v>
      </c>
      <c r="N17" s="86">
        <f t="shared" si="10"/>
        <v>1</v>
      </c>
      <c r="O17" s="87">
        <f t="shared" si="11"/>
        <v>0.66666666666666663</v>
      </c>
      <c r="P17" s="87">
        <f t="shared" si="12"/>
        <v>0.38</v>
      </c>
      <c r="Q17" s="88">
        <f t="shared" si="13"/>
        <v>0</v>
      </c>
      <c r="R17" s="88" t="b">
        <f t="shared" si="14"/>
        <v>1</v>
      </c>
      <c r="S17" s="86">
        <f t="shared" si="8"/>
        <v>0</v>
      </c>
      <c r="T17" s="86"/>
      <c r="U17" s="227"/>
      <c r="V17" s="86"/>
      <c r="W17" s="86"/>
    </row>
    <row r="18" spans="1:23" ht="15">
      <c r="A18" s="193" t="s">
        <v>78</v>
      </c>
      <c r="B18" s="193"/>
      <c r="C18" s="193"/>
      <c r="D18" s="193"/>
      <c r="E18" s="193"/>
      <c r="F18" s="193"/>
      <c r="G18" s="193"/>
      <c r="H18" s="193"/>
      <c r="J18" s="11"/>
      <c r="K18" s="27">
        <v>0.15</v>
      </c>
      <c r="M18" s="89">
        <f>IF(N18=1,SUMPRODUCT(M19:M22,N19:N22)/SUMPRODUCT(K19:K22,N19:N22),0)</f>
        <v>6.7333333333333334</v>
      </c>
      <c r="N18" s="86">
        <f>IF(SUM(N19:N22)=0,0,1)</f>
        <v>1</v>
      </c>
      <c r="O18" s="87"/>
      <c r="P18" s="87">
        <f>SUM(P19:P22)</f>
        <v>1</v>
      </c>
      <c r="Q18" s="88"/>
      <c r="R18" s="88" t="b">
        <f>OR(R15=FALSE,R16=FALSE,R17=FALSE)</f>
        <v>0</v>
      </c>
      <c r="S18" s="86">
        <f t="shared" ref="S18:S29" si="22">IF(D18&lt;&gt;"",IF(E18&lt;&gt;"",1,0)+IF(F18&lt;&gt;"",1,0)+IF(G18&lt;&gt;"",1,0)+IF(H18&lt;&gt;"",1,0),0)</f>
        <v>0</v>
      </c>
      <c r="T18" s="86"/>
      <c r="U18" s="228"/>
      <c r="V18" s="86"/>
      <c r="W18" s="86"/>
    </row>
    <row r="19" spans="1:23">
      <c r="A19" s="202" t="s">
        <v>85</v>
      </c>
      <c r="B19" s="203"/>
      <c r="C19" s="76" t="s">
        <v>86</v>
      </c>
      <c r="D19" s="22"/>
      <c r="E19" s="69" t="s">
        <v>51</v>
      </c>
      <c r="F19" s="69"/>
      <c r="G19" s="69"/>
      <c r="H19" s="70"/>
      <c r="I19" s="41" t="str">
        <f t="shared" ref="I19:I22" si="23">IF(N19&gt;1,"◄",(IF(S19&gt;0,"◄","")))</f>
        <v/>
      </c>
      <c r="J19" s="10"/>
      <c r="K19" s="26">
        <v>0.33</v>
      </c>
      <c r="M19" s="85">
        <f t="shared" ref="M19:M22" si="24">IF(H19&lt;&gt;"",1,IF(G19&lt;&gt;"",2/3,IF(F19&lt;&gt;"",1/3,0)))*K19*20</f>
        <v>0</v>
      </c>
      <c r="N19" s="86">
        <f t="shared" ref="N19:N22" si="25">IF(D19="",IF(E19&lt;&gt;"",1,0)+IF(F19&lt;&gt;"",1,0)+IF(G19&lt;&gt;"",1,0)+IF(H19&lt;&gt;"",1,0),0)</f>
        <v>1</v>
      </c>
      <c r="O19" s="87">
        <f t="shared" ref="O19:O22" si="26">IF(D19&lt;&gt;"",0,IF(E19="",(M19/(K19*20)),0.02+(M19/(K19*20))))</f>
        <v>0.02</v>
      </c>
      <c r="P19" s="87">
        <f t="shared" ref="P19:P22" si="27">IF(D19&lt;&gt;"",0,K19)</f>
        <v>0.33</v>
      </c>
      <c r="Q19" s="88">
        <f t="shared" ref="Q19:Q22" si="28">IF(I19&lt;&gt;"",1,0)</f>
        <v>0</v>
      </c>
      <c r="R19" s="88" t="b">
        <f t="shared" ref="R19:R22" si="29">IF(D19="",OR(E19&lt;&gt;"",F19&lt;&gt;"",G19&lt;&gt;"",H19&lt;&gt;""),0)</f>
        <v>1</v>
      </c>
      <c r="S19" s="86">
        <f t="shared" si="22"/>
        <v>0</v>
      </c>
      <c r="T19" s="91"/>
      <c r="U19" s="227"/>
      <c r="V19" s="86"/>
      <c r="W19" s="86"/>
    </row>
    <row r="20" spans="1:23" ht="13.5" customHeight="1">
      <c r="A20" s="202"/>
      <c r="B20" s="203"/>
      <c r="C20" s="194" t="s">
        <v>87</v>
      </c>
      <c r="D20" s="195"/>
      <c r="E20" s="198"/>
      <c r="F20" s="198" t="s">
        <v>51</v>
      </c>
      <c r="G20" s="196"/>
      <c r="H20" s="197"/>
      <c r="I20" s="41" t="str">
        <f t="shared" si="23"/>
        <v/>
      </c>
      <c r="J20" s="10"/>
      <c r="K20" s="26">
        <v>0.33</v>
      </c>
      <c r="M20" s="85">
        <f t="shared" si="24"/>
        <v>2.2000000000000002</v>
      </c>
      <c r="N20" s="86">
        <f t="shared" si="25"/>
        <v>1</v>
      </c>
      <c r="O20" s="87">
        <f t="shared" si="26"/>
        <v>0.33333333333333331</v>
      </c>
      <c r="P20" s="87">
        <f t="shared" si="27"/>
        <v>0.33</v>
      </c>
      <c r="Q20" s="88">
        <f t="shared" si="28"/>
        <v>0</v>
      </c>
      <c r="R20" s="88" t="b">
        <f t="shared" si="29"/>
        <v>1</v>
      </c>
      <c r="S20" s="86">
        <f t="shared" si="22"/>
        <v>0</v>
      </c>
      <c r="T20" s="86"/>
      <c r="U20" s="227"/>
      <c r="V20" s="86"/>
      <c r="W20" s="86"/>
    </row>
    <row r="21" spans="1:23">
      <c r="A21" s="223" t="s">
        <v>101</v>
      </c>
      <c r="B21" s="224"/>
      <c r="C21" s="76" t="s">
        <v>88</v>
      </c>
      <c r="D21" s="22"/>
      <c r="E21" s="13"/>
      <c r="F21" s="13"/>
      <c r="G21" s="13" t="s">
        <v>51</v>
      </c>
      <c r="H21" s="14"/>
      <c r="J21" s="10"/>
      <c r="K21" s="26">
        <v>0.21</v>
      </c>
      <c r="M21" s="85">
        <f t="shared" si="24"/>
        <v>2.8</v>
      </c>
      <c r="N21" s="86">
        <f t="shared" si="25"/>
        <v>1</v>
      </c>
      <c r="O21" s="87">
        <f t="shared" si="26"/>
        <v>0.66666666666666663</v>
      </c>
      <c r="P21" s="87">
        <f t="shared" si="27"/>
        <v>0.21</v>
      </c>
      <c r="Q21" s="88">
        <f t="shared" si="28"/>
        <v>0</v>
      </c>
      <c r="R21" s="88" t="b">
        <f t="shared" si="29"/>
        <v>1</v>
      </c>
      <c r="S21" s="86">
        <f t="shared" si="22"/>
        <v>0</v>
      </c>
      <c r="T21" s="86"/>
      <c r="U21" s="227"/>
      <c r="V21" s="86"/>
      <c r="W21" s="86"/>
    </row>
    <row r="22" spans="1:23">
      <c r="A22" s="225"/>
      <c r="B22" s="226"/>
      <c r="C22" s="194" t="s">
        <v>102</v>
      </c>
      <c r="D22" s="195"/>
      <c r="E22" s="198"/>
      <c r="F22" s="198"/>
      <c r="G22" s="198" t="s">
        <v>51</v>
      </c>
      <c r="H22" s="199"/>
      <c r="I22" s="41" t="str">
        <f t="shared" si="23"/>
        <v/>
      </c>
      <c r="J22" s="10"/>
      <c r="K22" s="26">
        <v>0.13</v>
      </c>
      <c r="M22" s="85">
        <f t="shared" si="24"/>
        <v>1.7333333333333334</v>
      </c>
      <c r="N22" s="86">
        <f t="shared" si="25"/>
        <v>1</v>
      </c>
      <c r="O22" s="87">
        <f t="shared" si="26"/>
        <v>0.66666666666666663</v>
      </c>
      <c r="P22" s="87">
        <f t="shared" si="27"/>
        <v>0.13</v>
      </c>
      <c r="Q22" s="88">
        <f t="shared" si="28"/>
        <v>0</v>
      </c>
      <c r="R22" s="88" t="b">
        <f t="shared" si="29"/>
        <v>1</v>
      </c>
      <c r="S22" s="86">
        <f t="shared" si="22"/>
        <v>0</v>
      </c>
      <c r="T22" s="86"/>
      <c r="U22" s="227"/>
      <c r="V22" s="86"/>
      <c r="W22" s="86"/>
    </row>
    <row r="23" spans="1:23" ht="27.75" customHeight="1">
      <c r="A23" s="220" t="s">
        <v>79</v>
      </c>
      <c r="B23" s="221"/>
      <c r="C23" s="221"/>
      <c r="D23" s="221"/>
      <c r="E23" s="221"/>
      <c r="F23" s="221"/>
      <c r="G23" s="221"/>
      <c r="H23" s="222"/>
      <c r="J23" s="11"/>
      <c r="K23" s="27">
        <v>0.2</v>
      </c>
      <c r="M23" s="89">
        <f>IF(N23=1,SUMPRODUCT(M24:M31,N24:N31)/SUMPRODUCT(K24:K31,N24:N31),0)</f>
        <v>5.8237547892720301</v>
      </c>
      <c r="N23" s="86">
        <f>IF(SUM(N24:N31)=0,0,1)</f>
        <v>1</v>
      </c>
      <c r="O23" s="87"/>
      <c r="P23" s="87">
        <f>SUM(P24:P31)</f>
        <v>0.87000000000000011</v>
      </c>
      <c r="Q23" s="88"/>
      <c r="R23" s="88" t="b">
        <f>OR(R19=FALSE,R20=FALSE,R21=FALSE,R22=FALSE)</f>
        <v>0</v>
      </c>
      <c r="S23" s="86">
        <f t="shared" si="22"/>
        <v>0</v>
      </c>
      <c r="T23" s="86"/>
      <c r="U23" s="228"/>
      <c r="V23" s="86"/>
      <c r="W23" s="86"/>
    </row>
    <row r="24" spans="1:23">
      <c r="A24" s="182" t="s">
        <v>37</v>
      </c>
      <c r="B24" s="183"/>
      <c r="C24" s="76" t="s">
        <v>95</v>
      </c>
      <c r="D24" s="22"/>
      <c r="E24" s="69"/>
      <c r="F24" s="69" t="s">
        <v>105</v>
      </c>
      <c r="G24" s="69"/>
      <c r="H24" s="70"/>
      <c r="I24" s="41" t="str">
        <f t="shared" ref="I24:I31" si="30">IF(N24&gt;1,"◄",(IF(S24&gt;0,"◄","")))</f>
        <v/>
      </c>
      <c r="J24" s="10"/>
      <c r="K24" s="26">
        <v>0.13</v>
      </c>
      <c r="M24" s="85">
        <f t="shared" ref="M24" si="31">IF(H24&lt;&gt;"",1,IF(G24&lt;&gt;"",2/3,IF(F24&lt;&gt;"",1/3,0)))*K24*20</f>
        <v>0.8666666666666667</v>
      </c>
      <c r="N24" s="86">
        <f t="shared" ref="N24" si="32">IF(D24="",IF(E24&lt;&gt;"",1,0)+IF(F24&lt;&gt;"",1,0)+IF(G24&lt;&gt;"",1,0)+IF(H24&lt;&gt;"",1,0),0)</f>
        <v>1</v>
      </c>
      <c r="O24" s="87">
        <f t="shared" ref="O24" si="33">IF(D24&lt;&gt;"",0,IF(E24="",(M24/(K24*20)),0.02+(M24/(K24*20))))</f>
        <v>0.33333333333333331</v>
      </c>
      <c r="P24" s="87">
        <f t="shared" ref="P24" si="34">IF(D24&lt;&gt;"",0,K24)</f>
        <v>0.13</v>
      </c>
      <c r="Q24" s="88">
        <f t="shared" ref="Q24" si="35">IF(I24&lt;&gt;"",1,0)</f>
        <v>0</v>
      </c>
      <c r="R24" s="88" t="b">
        <f t="shared" ref="R24" si="36">IF(D24="",OR(E24&lt;&gt;"",F24&lt;&gt;"",G24&lt;&gt;"",H24&lt;&gt;""),0)</f>
        <v>1</v>
      </c>
      <c r="S24" s="86">
        <f t="shared" ref="S24" si="37">IF(D24&lt;&gt;"",IF(E24&lt;&gt;"",1,0)+IF(F24&lt;&gt;"",1,0)+IF(G24&lt;&gt;"",1,0)+IF(H24&lt;&gt;"",1,0),0)</f>
        <v>0</v>
      </c>
      <c r="T24" s="86"/>
      <c r="U24" s="227"/>
      <c r="V24" s="86"/>
      <c r="W24" s="86"/>
    </row>
    <row r="25" spans="1:23">
      <c r="A25" s="182"/>
      <c r="B25" s="183"/>
      <c r="C25" s="194" t="s">
        <v>93</v>
      </c>
      <c r="D25" s="195"/>
      <c r="E25" s="196"/>
      <c r="F25" s="196" t="s">
        <v>105</v>
      </c>
      <c r="G25" s="196"/>
      <c r="H25" s="197"/>
      <c r="I25" s="41" t="str">
        <f t="shared" si="30"/>
        <v/>
      </c>
      <c r="J25" s="10"/>
      <c r="K25" s="26">
        <v>0.16</v>
      </c>
      <c r="M25" s="85">
        <f t="shared" ref="M25:M31" si="38">IF(H25&lt;&gt;"",1,IF(G25&lt;&gt;"",2/3,IF(F25&lt;&gt;"",1/3,0)))*K25*20</f>
        <v>1.0666666666666667</v>
      </c>
      <c r="N25" s="86">
        <f t="shared" ref="N25:N31" si="39">IF(D25="",IF(E25&lt;&gt;"",1,0)+IF(F25&lt;&gt;"",1,0)+IF(G25&lt;&gt;"",1,0)+IF(H25&lt;&gt;"",1,0),0)</f>
        <v>1</v>
      </c>
      <c r="O25" s="87">
        <f t="shared" ref="O25:O31" si="40">IF(D25&lt;&gt;"",0,IF(E25="",(M25/(K25*20)),0.02+(M25/(K25*20))))</f>
        <v>0.33333333333333331</v>
      </c>
      <c r="P25" s="87">
        <f t="shared" ref="P25:P31" si="41">IF(D25&lt;&gt;"",0,K25)</f>
        <v>0.16</v>
      </c>
      <c r="Q25" s="88">
        <f t="shared" ref="Q25:Q31" si="42">IF(I25&lt;&gt;"",1,0)</f>
        <v>0</v>
      </c>
      <c r="R25" s="88" t="b">
        <f t="shared" ref="R25:R31" si="43">IF(D25="",OR(E25&lt;&gt;"",F25&lt;&gt;"",G25&lt;&gt;"",H25&lt;&gt;""),0)</f>
        <v>1</v>
      </c>
      <c r="S25" s="86">
        <f t="shared" ref="S25:S31" si="44">IF(D25&lt;&gt;"",IF(E25&lt;&gt;"",1,0)+IF(F25&lt;&gt;"",1,0)+IF(G25&lt;&gt;"",1,0)+IF(H25&lt;&gt;"",1,0),0)</f>
        <v>0</v>
      </c>
      <c r="T25" s="86"/>
      <c r="U25" s="227"/>
      <c r="V25" s="86"/>
      <c r="W25" s="86"/>
    </row>
    <row r="26" spans="1:23">
      <c r="A26" s="182"/>
      <c r="B26" s="183"/>
      <c r="C26" s="76" t="s">
        <v>96</v>
      </c>
      <c r="D26" s="22"/>
      <c r="E26" s="13"/>
      <c r="F26" s="13" t="s">
        <v>105</v>
      </c>
      <c r="G26" s="69"/>
      <c r="H26" s="70"/>
      <c r="I26" s="41" t="str">
        <f t="shared" si="30"/>
        <v/>
      </c>
      <c r="J26" s="10"/>
      <c r="K26" s="26">
        <v>0.13</v>
      </c>
      <c r="M26" s="85">
        <f t="shared" si="38"/>
        <v>0.8666666666666667</v>
      </c>
      <c r="N26" s="86">
        <f t="shared" si="39"/>
        <v>1</v>
      </c>
      <c r="O26" s="87">
        <f t="shared" si="40"/>
        <v>0.33333333333333331</v>
      </c>
      <c r="P26" s="87">
        <f t="shared" si="41"/>
        <v>0.13</v>
      </c>
      <c r="Q26" s="88">
        <f t="shared" si="42"/>
        <v>0</v>
      </c>
      <c r="R26" s="88" t="b">
        <f t="shared" si="43"/>
        <v>1</v>
      </c>
      <c r="S26" s="86">
        <f t="shared" si="44"/>
        <v>0</v>
      </c>
      <c r="T26" s="86"/>
      <c r="U26" s="227"/>
      <c r="V26" s="86"/>
      <c r="W26" s="86"/>
    </row>
    <row r="27" spans="1:23">
      <c r="A27" s="182"/>
      <c r="B27" s="183"/>
      <c r="C27" s="194" t="s">
        <v>38</v>
      </c>
      <c r="D27" s="195"/>
      <c r="E27" s="198" t="s">
        <v>105</v>
      </c>
      <c r="F27" s="198"/>
      <c r="G27" s="198"/>
      <c r="H27" s="199"/>
      <c r="I27" s="41" t="str">
        <f t="shared" si="30"/>
        <v/>
      </c>
      <c r="J27" s="10"/>
      <c r="K27" s="26">
        <v>7.0000000000000007E-2</v>
      </c>
      <c r="M27" s="85">
        <f t="shared" si="38"/>
        <v>0</v>
      </c>
      <c r="N27" s="86">
        <f t="shared" si="39"/>
        <v>1</v>
      </c>
      <c r="O27" s="87">
        <f t="shared" si="40"/>
        <v>0.02</v>
      </c>
      <c r="P27" s="87">
        <f t="shared" si="41"/>
        <v>7.0000000000000007E-2</v>
      </c>
      <c r="Q27" s="88">
        <f t="shared" si="42"/>
        <v>0</v>
      </c>
      <c r="R27" s="88" t="b">
        <f t="shared" si="43"/>
        <v>1</v>
      </c>
      <c r="S27" s="86">
        <f t="shared" si="44"/>
        <v>0</v>
      </c>
      <c r="T27" s="86"/>
      <c r="U27" s="227"/>
      <c r="V27" s="86"/>
      <c r="W27" s="86"/>
    </row>
    <row r="28" spans="1:23">
      <c r="A28" s="200"/>
      <c r="B28" s="201"/>
      <c r="C28" s="76" t="s">
        <v>94</v>
      </c>
      <c r="D28" s="22"/>
      <c r="E28" s="13" t="s">
        <v>105</v>
      </c>
      <c r="F28" s="13"/>
      <c r="G28" s="13"/>
      <c r="H28" s="14"/>
      <c r="I28" s="41" t="str">
        <f t="shared" si="30"/>
        <v/>
      </c>
      <c r="J28" s="10"/>
      <c r="K28" s="26">
        <v>0.13</v>
      </c>
      <c r="M28" s="85">
        <f t="shared" si="38"/>
        <v>0</v>
      </c>
      <c r="N28" s="86">
        <f t="shared" si="39"/>
        <v>1</v>
      </c>
      <c r="O28" s="87">
        <f t="shared" si="40"/>
        <v>0.02</v>
      </c>
      <c r="P28" s="87">
        <f t="shared" si="41"/>
        <v>0.13</v>
      </c>
      <c r="Q28" s="88">
        <f t="shared" si="42"/>
        <v>0</v>
      </c>
      <c r="R28" s="88" t="b">
        <f t="shared" si="43"/>
        <v>1</v>
      </c>
      <c r="S28" s="86">
        <f t="shared" si="44"/>
        <v>0</v>
      </c>
      <c r="T28" s="86"/>
      <c r="U28" s="227"/>
      <c r="V28" s="86"/>
      <c r="W28" s="86"/>
    </row>
    <row r="29" spans="1:23" ht="15" customHeight="1">
      <c r="A29" s="202" t="s">
        <v>98</v>
      </c>
      <c r="B29" s="203"/>
      <c r="C29" s="194" t="s">
        <v>100</v>
      </c>
      <c r="D29" s="195"/>
      <c r="E29" s="198"/>
      <c r="F29" s="198"/>
      <c r="G29" s="198" t="s">
        <v>51</v>
      </c>
      <c r="H29" s="199"/>
      <c r="I29" s="41" t="str">
        <f t="shared" si="30"/>
        <v/>
      </c>
      <c r="J29" s="10"/>
      <c r="K29" s="26">
        <v>0.09</v>
      </c>
      <c r="M29" s="85">
        <f t="shared" si="38"/>
        <v>1.2</v>
      </c>
      <c r="N29" s="86">
        <f t="shared" si="39"/>
        <v>1</v>
      </c>
      <c r="O29" s="87">
        <f t="shared" si="40"/>
        <v>0.66666666666666674</v>
      </c>
      <c r="P29" s="87">
        <f t="shared" si="41"/>
        <v>0.09</v>
      </c>
      <c r="Q29" s="88">
        <f t="shared" si="42"/>
        <v>0</v>
      </c>
      <c r="R29" s="88" t="b">
        <f t="shared" si="43"/>
        <v>1</v>
      </c>
      <c r="S29" s="86">
        <f t="shared" si="44"/>
        <v>0</v>
      </c>
      <c r="T29" s="86"/>
      <c r="U29" s="227"/>
      <c r="V29" s="86"/>
      <c r="W29" s="86"/>
    </row>
    <row r="30" spans="1:23">
      <c r="A30" s="202"/>
      <c r="B30" s="203"/>
      <c r="C30" s="76" t="s">
        <v>99</v>
      </c>
      <c r="D30" s="22" t="s">
        <v>105</v>
      </c>
      <c r="E30" s="13"/>
      <c r="F30" s="13"/>
      <c r="G30" s="13"/>
      <c r="H30" s="14"/>
      <c r="I30" s="41" t="str">
        <f t="shared" si="30"/>
        <v/>
      </c>
      <c r="J30" s="10"/>
      <c r="K30" s="26">
        <v>0.13</v>
      </c>
      <c r="M30" s="85">
        <f t="shared" si="38"/>
        <v>0</v>
      </c>
      <c r="N30" s="86">
        <f t="shared" si="39"/>
        <v>0</v>
      </c>
      <c r="O30" s="87">
        <f t="shared" si="40"/>
        <v>0</v>
      </c>
      <c r="P30" s="87">
        <f t="shared" si="41"/>
        <v>0</v>
      </c>
      <c r="Q30" s="88">
        <f t="shared" si="42"/>
        <v>0</v>
      </c>
      <c r="R30" s="88">
        <f t="shared" si="43"/>
        <v>0</v>
      </c>
      <c r="S30" s="86">
        <f t="shared" si="44"/>
        <v>0</v>
      </c>
      <c r="T30" s="86"/>
      <c r="U30" s="227"/>
      <c r="V30" s="86"/>
      <c r="W30" s="86"/>
    </row>
    <row r="31" spans="1:23">
      <c r="A31" s="202"/>
      <c r="B31" s="203"/>
      <c r="C31" s="194" t="s">
        <v>103</v>
      </c>
      <c r="D31" s="195"/>
      <c r="E31" s="198"/>
      <c r="F31" s="198" t="s">
        <v>105</v>
      </c>
      <c r="G31" s="198"/>
      <c r="H31" s="199"/>
      <c r="I31" s="41" t="str">
        <f t="shared" si="30"/>
        <v/>
      </c>
      <c r="J31" s="10"/>
      <c r="K31" s="26">
        <v>0.16</v>
      </c>
      <c r="M31" s="85">
        <f t="shared" si="38"/>
        <v>1.0666666666666667</v>
      </c>
      <c r="N31" s="86">
        <f t="shared" si="39"/>
        <v>1</v>
      </c>
      <c r="O31" s="87">
        <f t="shared" si="40"/>
        <v>0.33333333333333331</v>
      </c>
      <c r="P31" s="87">
        <f t="shared" si="41"/>
        <v>0.16</v>
      </c>
      <c r="Q31" s="88">
        <f t="shared" si="42"/>
        <v>0</v>
      </c>
      <c r="R31" s="88" t="b">
        <f t="shared" si="43"/>
        <v>1</v>
      </c>
      <c r="S31" s="86">
        <f t="shared" si="44"/>
        <v>0</v>
      </c>
      <c r="T31" s="86"/>
      <c r="U31" s="227"/>
      <c r="V31" s="86"/>
      <c r="W31" s="86"/>
    </row>
    <row r="32" spans="1:23" ht="15">
      <c r="A32" s="193" t="s">
        <v>90</v>
      </c>
      <c r="B32" s="193"/>
      <c r="C32" s="193"/>
      <c r="D32" s="193"/>
      <c r="E32" s="193"/>
      <c r="F32" s="193"/>
      <c r="G32" s="193"/>
      <c r="H32" s="193"/>
      <c r="J32" s="11"/>
      <c r="K32" s="27">
        <v>0.2</v>
      </c>
      <c r="M32" s="89">
        <f>IF(N32=1,SUMPRODUCT(M33:M36,N33:N36)/SUMPRODUCT(K33:K36,N33:N36),0)</f>
        <v>7.6</v>
      </c>
      <c r="N32" s="86">
        <f>IF(SUM(N33:N36)=0,0,1)</f>
        <v>1</v>
      </c>
      <c r="O32" s="87"/>
      <c r="P32" s="87">
        <f>SUM(P33:P36)</f>
        <v>1</v>
      </c>
      <c r="Q32" s="88"/>
      <c r="R32" s="88" t="b">
        <f>OR(R24=FALSE,R25=FALSE,R26=FALSE,R27=FALSE,R28=FALSE,R29=FALSE,R30=FALSE,R31=FALSE)</f>
        <v>0</v>
      </c>
      <c r="S32" s="86">
        <f t="shared" ref="S32:S36" si="45">IF(D32&lt;&gt;"",IF(E32&lt;&gt;"",1,0)+IF(F32&lt;&gt;"",1,0)+IF(G32&lt;&gt;"",1,0)+IF(H32&lt;&gt;"",1,0),0)</f>
        <v>0</v>
      </c>
      <c r="T32" s="86"/>
      <c r="U32" s="228"/>
      <c r="V32" s="86"/>
      <c r="W32" s="86"/>
    </row>
    <row r="33" spans="1:23">
      <c r="A33" s="202" t="s">
        <v>55</v>
      </c>
      <c r="B33" s="203"/>
      <c r="C33" s="76" t="s">
        <v>52</v>
      </c>
      <c r="D33" s="22"/>
      <c r="E33" s="69" t="s">
        <v>51</v>
      </c>
      <c r="F33" s="69"/>
      <c r="G33" s="69"/>
      <c r="H33" s="70"/>
      <c r="I33" s="41" t="str">
        <f t="shared" ref="I33:I36" si="46">IF(N33&gt;1,"◄",(IF(S33&gt;0,"◄","")))</f>
        <v/>
      </c>
      <c r="J33" s="10"/>
      <c r="K33" s="26">
        <v>0.28999999999999998</v>
      </c>
      <c r="M33" s="85">
        <f t="shared" ref="M33:M36" si="47">IF(H33&lt;&gt;"",1,IF(G33&lt;&gt;"",2/3,IF(F33&lt;&gt;"",1/3,0)))*K33*20</f>
        <v>0</v>
      </c>
      <c r="N33" s="86">
        <f t="shared" ref="N33:N36" si="48">IF(D33="",IF(E33&lt;&gt;"",1,0)+IF(F33&lt;&gt;"",1,0)+IF(G33&lt;&gt;"",1,0)+IF(H33&lt;&gt;"",1,0),0)</f>
        <v>1</v>
      </c>
      <c r="O33" s="87">
        <f t="shared" ref="O33:O36" si="49">IF(D33&lt;&gt;"",0,IF(E33="",(M33/(K33*20)),0.02+(M33/(K33*20))))</f>
        <v>0.02</v>
      </c>
      <c r="P33" s="87">
        <f t="shared" ref="P33:P36" si="50">IF(D33&lt;&gt;"",0,K33)</f>
        <v>0.28999999999999998</v>
      </c>
      <c r="Q33" s="88">
        <f t="shared" ref="Q33:Q36" si="51">IF(I33&lt;&gt;"",1,0)</f>
        <v>0</v>
      </c>
      <c r="R33" s="88" t="b">
        <f t="shared" ref="R33:R36" si="52">IF(D33="",OR(E33&lt;&gt;"",F33&lt;&gt;"",G33&lt;&gt;"",H33&lt;&gt;""),0)</f>
        <v>1</v>
      </c>
      <c r="S33" s="86">
        <f t="shared" si="45"/>
        <v>0</v>
      </c>
      <c r="T33" s="91"/>
      <c r="U33" s="227"/>
      <c r="V33" s="86"/>
      <c r="W33" s="86"/>
    </row>
    <row r="34" spans="1:23" ht="13.5" customHeight="1">
      <c r="A34" s="202"/>
      <c r="B34" s="203"/>
      <c r="C34" s="194" t="s">
        <v>53</v>
      </c>
      <c r="D34" s="195"/>
      <c r="E34" s="198" t="s">
        <v>105</v>
      </c>
      <c r="F34" s="198"/>
      <c r="G34" s="196"/>
      <c r="H34" s="197"/>
      <c r="I34" s="41" t="str">
        <f t="shared" si="46"/>
        <v/>
      </c>
      <c r="J34" s="10"/>
      <c r="K34" s="26">
        <v>0.14000000000000001</v>
      </c>
      <c r="M34" s="85">
        <f t="shared" si="47"/>
        <v>0</v>
      </c>
      <c r="N34" s="86">
        <f t="shared" si="48"/>
        <v>1</v>
      </c>
      <c r="O34" s="87">
        <f t="shared" si="49"/>
        <v>0.02</v>
      </c>
      <c r="P34" s="87">
        <f t="shared" si="50"/>
        <v>0.14000000000000001</v>
      </c>
      <c r="Q34" s="88">
        <f t="shared" si="51"/>
        <v>0</v>
      </c>
      <c r="R34" s="88" t="b">
        <f t="shared" si="52"/>
        <v>1</v>
      </c>
      <c r="S34" s="86">
        <f t="shared" si="45"/>
        <v>0</v>
      </c>
      <c r="T34" s="86"/>
      <c r="U34" s="227"/>
      <c r="V34" s="86"/>
      <c r="W34" s="86"/>
    </row>
    <row r="35" spans="1:23">
      <c r="A35" s="202" t="s">
        <v>89</v>
      </c>
      <c r="B35" s="203"/>
      <c r="C35" s="76" t="s">
        <v>91</v>
      </c>
      <c r="D35" s="22"/>
      <c r="E35" s="13"/>
      <c r="F35" s="13"/>
      <c r="G35" s="13" t="s">
        <v>51</v>
      </c>
      <c r="H35" s="14"/>
      <c r="J35" s="10"/>
      <c r="K35" s="26">
        <v>0.24</v>
      </c>
      <c r="M35" s="85">
        <f t="shared" si="47"/>
        <v>3.1999999999999993</v>
      </c>
      <c r="N35" s="86">
        <f t="shared" si="48"/>
        <v>1</v>
      </c>
      <c r="O35" s="87">
        <f t="shared" si="49"/>
        <v>0.66666666666666652</v>
      </c>
      <c r="P35" s="87">
        <f t="shared" si="50"/>
        <v>0.24</v>
      </c>
      <c r="Q35" s="88">
        <f t="shared" si="51"/>
        <v>0</v>
      </c>
      <c r="R35" s="88" t="b">
        <f t="shared" si="52"/>
        <v>1</v>
      </c>
      <c r="S35" s="86">
        <f t="shared" si="45"/>
        <v>0</v>
      </c>
      <c r="T35" s="86"/>
      <c r="U35" s="227"/>
      <c r="V35" s="86"/>
      <c r="W35" s="86"/>
    </row>
    <row r="36" spans="1:23">
      <c r="A36" s="202"/>
      <c r="B36" s="203"/>
      <c r="C36" s="194" t="s">
        <v>92</v>
      </c>
      <c r="D36" s="195"/>
      <c r="E36" s="198"/>
      <c r="F36" s="198"/>
      <c r="G36" s="198" t="s">
        <v>51</v>
      </c>
      <c r="H36" s="199"/>
      <c r="I36" s="41" t="str">
        <f t="shared" si="46"/>
        <v/>
      </c>
      <c r="J36" s="10"/>
      <c r="K36" s="26">
        <v>0.33</v>
      </c>
      <c r="M36" s="85">
        <f t="shared" si="47"/>
        <v>4.4000000000000004</v>
      </c>
      <c r="N36" s="86">
        <f t="shared" si="48"/>
        <v>1</v>
      </c>
      <c r="O36" s="87">
        <f t="shared" si="49"/>
        <v>0.66666666666666663</v>
      </c>
      <c r="P36" s="87">
        <f t="shared" si="50"/>
        <v>0.33</v>
      </c>
      <c r="Q36" s="88">
        <f t="shared" si="51"/>
        <v>0</v>
      </c>
      <c r="R36" s="88" t="b">
        <f t="shared" si="52"/>
        <v>1</v>
      </c>
      <c r="S36" s="86">
        <f t="shared" si="45"/>
        <v>0</v>
      </c>
      <c r="T36" s="86"/>
      <c r="U36" s="227"/>
      <c r="V36" s="86"/>
      <c r="W36" s="86"/>
    </row>
    <row r="37" spans="1:23">
      <c r="C37" s="12" t="s">
        <v>18</v>
      </c>
      <c r="E37" s="139">
        <f>P4*K4+P14*K14+P18*K18+P23*K23+P32*K32</f>
        <v>0.83899999999999997</v>
      </c>
      <c r="F37" s="140"/>
      <c r="G37" s="140"/>
      <c r="H37" s="140"/>
      <c r="I37" s="48" t="s">
        <v>27</v>
      </c>
      <c r="J37" s="136" t="str">
        <f>IF(R38=TRUE,"ATTENTION, au moins une ligne à évaluer n'est pas renseignée","")</f>
        <v/>
      </c>
      <c r="K37" s="39">
        <f>K14+K4</f>
        <v>0.44999999999999996</v>
      </c>
      <c r="L37" s="35">
        <f>SUM(K15:K17)</f>
        <v>1</v>
      </c>
      <c r="M37" s="85"/>
      <c r="N37" s="86">
        <f>N4+N14</f>
        <v>2</v>
      </c>
      <c r="O37" s="87"/>
      <c r="P37" s="92"/>
      <c r="Q37" s="88">
        <f>SUM(Q5:Q17)</f>
        <v>0</v>
      </c>
      <c r="R37" s="88" t="b">
        <f>OR(R33=FALSE,R34=FALSE,R35=FALSE,R36=FALSE)</f>
        <v>0</v>
      </c>
      <c r="S37" s="86"/>
      <c r="T37" s="86"/>
      <c r="U37" s="86"/>
      <c r="V37" s="86"/>
      <c r="W37" s="86"/>
    </row>
    <row r="38" spans="1:23" ht="13.5" thickBot="1">
      <c r="C38" s="3" t="s">
        <v>26</v>
      </c>
      <c r="E38" s="144">
        <f>IF(E37&lt;50%,"!",IF(Q37&lt;&gt;0,"",(IF(N37&lt;&gt;0,(M4*K4+M14*K14+M18*K18+M23*K23+M32*K32)/(K4*N4+K14*N14+K18*N18+K23*N23+K32*N32),0))))</f>
        <v>8.6965691396725866</v>
      </c>
      <c r="F38" s="144"/>
      <c r="G38" s="145" t="s">
        <v>10</v>
      </c>
      <c r="H38" s="145"/>
      <c r="I38" s="46" t="s">
        <v>28</v>
      </c>
      <c r="J38" s="136"/>
      <c r="M38" s="85"/>
      <c r="N38" s="86"/>
      <c r="O38" s="87"/>
      <c r="P38" s="87"/>
      <c r="Q38" s="88"/>
      <c r="R38" s="88" t="b">
        <f>OR(R14=TRUE,R18=TRUE,R23=TRUE,R32=TRUE,R37=TRUE)</f>
        <v>0</v>
      </c>
      <c r="S38" s="86"/>
      <c r="T38" s="86"/>
      <c r="U38" s="86"/>
      <c r="V38" s="86"/>
      <c r="W38" s="86"/>
    </row>
    <row r="39" spans="1:23" ht="13.5" thickBot="1">
      <c r="C39" s="3" t="s">
        <v>19</v>
      </c>
      <c r="E39" s="168"/>
      <c r="F39" s="169"/>
      <c r="G39" s="170" t="s">
        <v>8</v>
      </c>
      <c r="H39" s="171"/>
      <c r="I39" s="46" t="s">
        <v>28</v>
      </c>
      <c r="J39" s="136"/>
      <c r="K39" s="1"/>
      <c r="M39" s="85"/>
      <c r="N39" s="86"/>
      <c r="O39" s="87"/>
      <c r="P39" s="87"/>
      <c r="Q39" s="88"/>
      <c r="R39" s="88"/>
      <c r="S39" s="86"/>
      <c r="T39" s="86"/>
      <c r="U39" s="86"/>
      <c r="V39" s="86"/>
      <c r="W39" s="86"/>
    </row>
    <row r="40" spans="1:23" ht="18.75" customHeight="1" thickBot="1">
      <c r="C40" s="3" t="s">
        <v>20</v>
      </c>
      <c r="E40" s="150">
        <f>IF(Q37&lt;&gt;0,"",E39*Identification!B5)</f>
        <v>0</v>
      </c>
      <c r="F40" s="151"/>
      <c r="G40" s="174">
        <f>(20*Identification!B5)</f>
        <v>20</v>
      </c>
      <c r="H40" s="175"/>
      <c r="I40" s="46" t="s">
        <v>28</v>
      </c>
      <c r="J40" s="136"/>
      <c r="M40" s="85"/>
      <c r="N40" s="86"/>
      <c r="O40" s="87"/>
      <c r="P40" s="87"/>
      <c r="Q40" s="88"/>
      <c r="R40" s="88"/>
      <c r="S40" s="86"/>
      <c r="T40" s="86"/>
      <c r="U40" s="86"/>
      <c r="V40" s="86"/>
      <c r="W40" s="86"/>
    </row>
    <row r="41" spans="1:23">
      <c r="A41" s="149" t="s">
        <v>24</v>
      </c>
      <c r="B41" s="149"/>
      <c r="C41" s="149"/>
      <c r="D41" s="149"/>
      <c r="E41" s="149"/>
      <c r="F41" s="149"/>
      <c r="G41" s="149"/>
      <c r="H41" s="149"/>
      <c r="I41" s="46" t="s">
        <v>28</v>
      </c>
      <c r="J41" s="136"/>
      <c r="M41" s="85"/>
      <c r="N41" s="86"/>
      <c r="O41" s="87"/>
      <c r="P41" s="87"/>
      <c r="Q41" s="88"/>
      <c r="R41" s="88"/>
      <c r="S41" s="86"/>
      <c r="T41" s="86"/>
      <c r="U41" s="86"/>
      <c r="V41" s="86"/>
      <c r="W41" s="86"/>
    </row>
    <row r="42" spans="1:23" ht="13.5" thickBot="1">
      <c r="A42" s="176" t="s">
        <v>30</v>
      </c>
      <c r="B42" s="177"/>
      <c r="C42" s="177"/>
      <c r="D42" s="177"/>
      <c r="E42" s="177"/>
      <c r="F42" s="177"/>
      <c r="G42" s="177"/>
      <c r="H42" s="177"/>
      <c r="I42" s="50" t="s">
        <v>29</v>
      </c>
      <c r="J42" s="136"/>
      <c r="M42" s="85"/>
      <c r="N42" s="86"/>
      <c r="O42" s="87"/>
      <c r="P42" s="87"/>
      <c r="Q42" s="88"/>
      <c r="R42" s="88"/>
      <c r="S42" s="86"/>
      <c r="T42" s="86"/>
      <c r="U42" s="86"/>
      <c r="V42" s="86"/>
      <c r="W42" s="86"/>
    </row>
    <row r="43" spans="1:23" ht="15" customHeight="1">
      <c r="A43" s="155" t="s">
        <v>11</v>
      </c>
      <c r="B43" s="156"/>
      <c r="C43" s="172" t="str">
        <f>(IF(Q37&gt;0,"Attention erreur de saisie ! Voir ci-dessus",""))</f>
        <v/>
      </c>
      <c r="D43" s="172"/>
      <c r="E43" s="172"/>
      <c r="F43" s="172"/>
      <c r="G43" s="172"/>
      <c r="H43" s="173"/>
      <c r="I43" s="42"/>
      <c r="K43" s="1"/>
      <c r="M43" s="85"/>
      <c r="N43" s="86"/>
      <c r="O43" s="87"/>
      <c r="P43" s="87"/>
      <c r="Q43" s="88"/>
      <c r="R43" s="88"/>
      <c r="S43" s="86"/>
      <c r="T43" s="86"/>
      <c r="U43" s="86"/>
      <c r="V43" s="86"/>
      <c r="W43" s="86"/>
    </row>
    <row r="44" spans="1:23" ht="84.75" customHeight="1" thickBot="1">
      <c r="A44" s="178"/>
      <c r="B44" s="179"/>
      <c r="C44" s="179"/>
      <c r="D44" s="179"/>
      <c r="E44" s="179"/>
      <c r="F44" s="179"/>
      <c r="G44" s="179"/>
      <c r="H44" s="180"/>
      <c r="I44" s="43"/>
      <c r="M44" s="85"/>
      <c r="N44" s="86"/>
      <c r="O44" s="87"/>
      <c r="P44" s="87"/>
      <c r="Q44" s="88"/>
      <c r="R44" s="88"/>
      <c r="S44" s="86"/>
      <c r="T44" s="86"/>
      <c r="U44" s="86"/>
      <c r="V44" s="86"/>
      <c r="W44" s="86"/>
    </row>
    <row r="45" spans="1:23" ht="7.5" customHeight="1" thickBot="1">
      <c r="A45" s="17"/>
      <c r="B45" s="7"/>
      <c r="C45" s="7"/>
      <c r="D45" s="15"/>
      <c r="E45" s="15"/>
      <c r="F45" s="15"/>
      <c r="G45" s="15"/>
      <c r="H45" s="15"/>
      <c r="I45" s="44"/>
      <c r="M45" s="85"/>
      <c r="N45" s="86"/>
      <c r="O45" s="87"/>
      <c r="P45" s="87"/>
      <c r="Q45" s="88"/>
      <c r="R45" s="88"/>
      <c r="S45" s="86"/>
      <c r="T45" s="86"/>
      <c r="U45" s="86"/>
      <c r="V45" s="86"/>
      <c r="W45" s="86"/>
    </row>
    <row r="46" spans="1:23" ht="12.75" customHeight="1">
      <c r="A46" s="147" t="s">
        <v>22</v>
      </c>
      <c r="B46" s="148"/>
      <c r="C46" s="8" t="s">
        <v>15</v>
      </c>
      <c r="D46" s="19"/>
      <c r="E46" s="152" t="s">
        <v>16</v>
      </c>
      <c r="F46" s="153"/>
      <c r="G46" s="153"/>
      <c r="H46" s="154"/>
      <c r="I46" s="42"/>
      <c r="M46" s="85"/>
      <c r="N46" s="86"/>
      <c r="O46" s="87"/>
      <c r="P46" s="87"/>
      <c r="Q46" s="88"/>
      <c r="R46" s="88"/>
      <c r="S46" s="86"/>
      <c r="T46" s="86"/>
      <c r="U46" s="86"/>
      <c r="V46" s="86"/>
      <c r="W46" s="86"/>
    </row>
    <row r="47" spans="1:23" ht="30.95" customHeight="1" thickBot="1">
      <c r="A47" s="159"/>
      <c r="B47" s="160"/>
      <c r="C47" s="4"/>
      <c r="D47" s="20"/>
      <c r="E47" s="161"/>
      <c r="F47" s="162"/>
      <c r="G47" s="162"/>
      <c r="H47" s="163"/>
      <c r="I47" s="45"/>
      <c r="M47" s="85"/>
      <c r="N47" s="86"/>
      <c r="O47" s="87"/>
      <c r="P47" s="87"/>
      <c r="Q47" s="88"/>
      <c r="R47" s="88"/>
      <c r="S47" s="86"/>
      <c r="T47" s="86"/>
      <c r="U47" s="86"/>
      <c r="V47" s="86"/>
      <c r="W47" s="86"/>
    </row>
    <row r="48" spans="1:23" ht="30.95" customHeight="1">
      <c r="A48" s="159"/>
      <c r="B48" s="160"/>
      <c r="C48" s="4"/>
      <c r="D48" s="20"/>
      <c r="M48" s="85"/>
      <c r="N48" s="86"/>
      <c r="O48" s="87"/>
      <c r="P48" s="87"/>
      <c r="Q48" s="88"/>
      <c r="R48" s="88"/>
      <c r="S48" s="86"/>
      <c r="T48" s="86"/>
      <c r="U48" s="86"/>
      <c r="V48" s="86"/>
      <c r="W48" s="86"/>
    </row>
    <row r="49" spans="1:28" ht="30.95" customHeight="1">
      <c r="A49" s="166"/>
      <c r="B49" s="167"/>
      <c r="C49" s="4"/>
      <c r="D49" s="20"/>
    </row>
    <row r="50" spans="1:28" ht="30.95" customHeight="1">
      <c r="A50" s="159"/>
      <c r="B50" s="160"/>
      <c r="C50" s="4"/>
      <c r="D50" s="20"/>
    </row>
    <row r="51" spans="1:28" ht="30.95" customHeight="1" thickBot="1">
      <c r="A51" s="157"/>
      <c r="B51" s="158"/>
      <c r="C51" s="5"/>
      <c r="D51" s="20"/>
      <c r="E51" s="164">
        <f ca="1">TODAY()</f>
        <v>41423</v>
      </c>
      <c r="F51" s="165"/>
      <c r="G51" s="165"/>
      <c r="H51" s="165"/>
      <c r="I51" s="47"/>
    </row>
    <row r="52" spans="1:28" s="2" customFormat="1" ht="26.25" customHeight="1">
      <c r="A52" s="146" t="s">
        <v>39</v>
      </c>
      <c r="B52" s="146"/>
      <c r="C52" s="146"/>
      <c r="D52" s="146"/>
      <c r="E52" s="146"/>
      <c r="F52" s="146"/>
      <c r="G52" s="146"/>
      <c r="H52" s="146"/>
      <c r="I52" s="146"/>
      <c r="J52" s="77"/>
      <c r="K52" s="78"/>
      <c r="L52" s="81"/>
      <c r="M52" s="82"/>
      <c r="N52" s="80"/>
      <c r="O52" s="83"/>
      <c r="P52" s="83"/>
      <c r="Q52" s="84"/>
      <c r="R52" s="84"/>
      <c r="S52" s="80"/>
      <c r="T52" s="80"/>
      <c r="U52" s="79"/>
      <c r="V52" s="79"/>
      <c r="W52" s="79"/>
      <c r="X52" s="79"/>
      <c r="Y52" s="79"/>
      <c r="Z52" s="79"/>
      <c r="AA52" s="80"/>
      <c r="AB52" s="80"/>
    </row>
    <row r="53" spans="1:28" ht="14.25">
      <c r="B53" s="21"/>
    </row>
  </sheetData>
  <sheetProtection pivotTables="0"/>
  <mergeCells count="41">
    <mergeCell ref="A23:H23"/>
    <mergeCell ref="A24:B28"/>
    <mergeCell ref="A32:H32"/>
    <mergeCell ref="A33:B34"/>
    <mergeCell ref="A35:B36"/>
    <mergeCell ref="A29:B31"/>
    <mergeCell ref="A18:H18"/>
    <mergeCell ref="A19:B20"/>
    <mergeCell ref="A21:B22"/>
    <mergeCell ref="A13:B13"/>
    <mergeCell ref="E39:F39"/>
    <mergeCell ref="G39:H39"/>
    <mergeCell ref="C43:H43"/>
    <mergeCell ref="G40:H40"/>
    <mergeCell ref="A42:H42"/>
    <mergeCell ref="A44:H44"/>
    <mergeCell ref="A51:B51"/>
    <mergeCell ref="A47:B47"/>
    <mergeCell ref="E47:H47"/>
    <mergeCell ref="A48:B48"/>
    <mergeCell ref="A50:B50"/>
    <mergeCell ref="E51:H51"/>
    <mergeCell ref="A49:B49"/>
    <mergeCell ref="A15:B17"/>
    <mergeCell ref="E38:F38"/>
    <mergeCell ref="G38:H38"/>
    <mergeCell ref="A52:I52"/>
    <mergeCell ref="A46:B46"/>
    <mergeCell ref="A41:H41"/>
    <mergeCell ref="E40:F40"/>
    <mergeCell ref="E46:H46"/>
    <mergeCell ref="A43:B43"/>
    <mergeCell ref="A5:B7"/>
    <mergeCell ref="A8:B10"/>
    <mergeCell ref="A11:B12"/>
    <mergeCell ref="J37:J42"/>
    <mergeCell ref="D2:H2"/>
    <mergeCell ref="A3:B3"/>
    <mergeCell ref="E37:H37"/>
    <mergeCell ref="A4:H4"/>
    <mergeCell ref="A14:H14"/>
  </mergeCells>
  <phoneticPr fontId="6" type="noConversion"/>
  <printOptions horizontalCentered="1" verticalCentered="1"/>
  <pageMargins left="0.27559055118110237" right="0.19685039370078741" top="0.13" bottom="0.13" header="0.16" footer="0.15748031496062992"/>
  <pageSetup paperSize="9" scale="67" orientation="landscape" horizontalDpi="4294967293" r:id="rId1"/>
  <headerFooter alignWithMargins="0">
    <oddFooter>&amp;RPage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Identification</vt:lpstr>
      <vt:lpstr>Notation</vt:lpstr>
      <vt:lpstr>Identification!Zone_d_impression</vt:lpstr>
      <vt:lpstr>Notation!Zone_d_impression</vt:lpstr>
    </vt:vector>
  </TitlesOfParts>
  <Company>STSI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 DE STRASBOURG</dc:creator>
  <cp:lastModifiedBy>XC</cp:lastModifiedBy>
  <cp:lastPrinted>2013-05-29T09:58:33Z</cp:lastPrinted>
  <dcterms:created xsi:type="dcterms:W3CDTF">2011-09-24T16:55:29Z</dcterms:created>
  <dcterms:modified xsi:type="dcterms:W3CDTF">2013-05-29T13:47:59Z</dcterms:modified>
</cp:coreProperties>
</file>